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45" firstSheet="2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<sst xmlns="http://schemas.openxmlformats.org/spreadsheetml/2006/main" count="402" uniqueCount="350">
  <si>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</si>
  <si>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</si>
  <si>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</si>
  <si>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</si>
  <si>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</si>
  <si>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</si>
  <si>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</si>
  <si>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</si>
  <si>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</si>
  <si>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</si>
  <si>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</si>
  <si>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</si>
  <si>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</si>
  <si>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</si>
  <si>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</si>
  <si>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</si>
  <si>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</si>
  <si>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</si>
  <si>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</si>
  <si>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</si>
  <si>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</si>
  <si>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</si>
  <si>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</si>
  <si>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</si>
  <si>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</si>
  <si>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</si>
  <si>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</si>
  <si>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</si>
  <si>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</si>
  <si>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</si>
  <si>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</si>
  <si>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</si>
  <si>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</si>
  <si>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</si>
  <si>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</si>
  <si>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</si>
  <si>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</si>
  <si>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</si>
  <si>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</si>
  <si>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</si>
  <si>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</si>
  <si>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</si>
  <si>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</si>
  <si>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</si>
  <si>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</si>
  <si>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</si>
  <si>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</si>
  <si>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</si>
  <si>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</si>
  <si>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</si>
  <si>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</si>
  <si>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</si>
  <si>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</si>
  <si>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</si>
  <si>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</si>
  <si>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</si>
  <si>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</si>
  <si>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</si>
  <si>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</si>
  <si>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</si>
  <si>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</si>
  <si>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</si>
  <si>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</si>
  <si>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</si>
  <si>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</si>
  <si>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</si>
  <si>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</si>
  <si>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</si>
  <si>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</si>
  <si>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</si>
  <si>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</si>
  <si>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</si>
  <si>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</si>
  <si>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</si>
  <si>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</si>
  <si>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</si>
  <si>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</si>
  <si>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</si>
  <si>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</si>
  <si>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</si>
  <si>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</si>
  <si>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</si>
  <si>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</si>
  <si>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</si>
  <si>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</si>
  <si>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</si>
  <si>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</si>
  <si>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</si>
  <si>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</si>
  <si>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</si>
  <si>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</si>
  <si>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</si>
  <si>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</si>
  <si>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</si>
  <si>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</si>
  <si>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</si>
  <si>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</si>
  <si>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</si>
  <si>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</si>
  <si>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</si>
  <si>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</si>
  <si>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</si>
  <si>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</si>
  <si>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</si>
  <si>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</si>
  <si>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</si>
  <si>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</si>
  <si>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</si>
  <si>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</si>
  <si>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</si>
  <si>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</si>
  <si>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</si>
  <si>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</si>
  <si>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</si>
  <si>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</si>
  <si>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</si>
  <si>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</si>
  <si>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</si>
  <si>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</si>
  <si>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</si>
  <si>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</si>
  <si>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</si>
  <si>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</si>
  <si>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</si>
  <si>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</si>
  <si>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</si>
  <si>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</si>
  <si>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</si>
  <si>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</si>
  <si>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</si>
  <si>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</si>
  <si>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</si>
  <si>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</si>
  <si>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</si>
  <si>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</si>
  <si>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</si>
  <si>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</si>
  <si>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</si>
  <si>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</si>
  <si>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</si>
  <si>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</si>
  <si>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</si>
  <si>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</si>
  <si>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</si>
  <si>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</si>
  <si>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</si>
  <si>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</si>
  <si>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</si>
  <si>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</si>
  <si>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</si>
  <si>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</si>
  <si>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</si>
  <si>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</si>
  <si>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</si>
  <si>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</si>
  <si>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</si>
  <si>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</si>
  <si>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</si>
  <si>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</si>
  <si>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</si>
  <si>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</si>
  <si>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</si>
  <si>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</si>
  <si>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</si>
  <si>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</si>
  <si>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</si>
  <si>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</si>
  <si>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</si>
  <si>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</si>
  <si>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</si>
  <si>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</si>
  <si>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</si>
  <si>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</si>
  <si>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</si>
  <si>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</si>
  <si>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</si>
  <si>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</si>
  <si>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</si>
  <si>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</si>
  <si>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</si>
  <si>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</si>
  <si>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</si>
  <si>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</si>
  <si>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</si>
  <si>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</si>
  <si>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</si>
  <si>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</si>
  <si>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</si>
  <si>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</si>
  <si>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</si>
  <si>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</si>
  <si>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</si>
  <si>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</si>
  <si>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</si>
  <si>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</si>
  <si>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</si>
  <si>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</si>
  <si>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</si>
  <si>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</si>
  <si>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</si>
  <si>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</si>
  <si>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</si>
  <si>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</si>
  <si>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</si>
  <si>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</si>
  <si>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</si>
  <si>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</si>
  <si>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</si>
  <si>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</si>
  <si>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</si>
  <si>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</si>
  <si>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</si>
  <si>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</si>
  <si>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</si>
  <si>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</si>
  <si>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</si>
  <si>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</si>
  <si>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</si>
  <si>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</si>
  <si>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</si>
  <si>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</si>
  <si>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</si>
  <si>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</si>
  <si>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</si>
  <si>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</si>
  <si>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</si>
  <si>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</si>
  <si>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</si>
  <si>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</si>
  <si>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</si>
  <si>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</si>
  <si>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</si>
  <si>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</si>
  <si>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</si>
  <si>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</si>
  <si>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</si>
  <si>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</si>
  <si>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</si>
  <si>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</si>
  <si>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</si>
  <si>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</si>
  <si>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</si>
  <si>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</si>
  <si>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</si>
  <si>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</si>
  <si>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</si>
  <si>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</si>
  <si>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</si>
  <si>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</si>
  <si>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</si>
  <si>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</si>
  <si>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</si>
  <si>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</si>
  <si>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</si>
  <si>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</si>
  <si>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</si>
  <si>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</si>
  <si>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</si>
  <si>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</si>
  <si>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</si>
  <si>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</si>
  <si>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</si>
  <si>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</si>
  <si>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</si>
  <si>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</si>
  <si>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</si>
  <si>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</si>
  <si>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</si>
  <si>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</si>
  <si>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</si>
  <si>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</si>
  <si>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</si>
  <si>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</si>
  <si>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</si>
  <si>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</si>
  <si>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</si>
  <si>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</si>
  <si>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</si>
  <si>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</si>
  <si>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</si>
  <si>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</si>
  <si>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</si>
  <si>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</si>
  <si>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</si>
  <si>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</si>
  <si>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</si>
  <si>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</si>
  <si>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</si>
  <si>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</si>
  <si>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</si>
  <si>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</si>
  <si>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</si>
  <si>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</si>
  <si>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</si>
  <si>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</si>
  <si>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</si>
  <si>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</si>
  <si>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</si>
  <si>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</si>
  <si>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</si>
  <si>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</si>
  <si>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</si>
  <si>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</si>
  <si>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</si>
  <si>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</si>
  <si>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</si>
  <si>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</si>
  <si>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</si>
  <si>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</si>
  <si>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</si>
  <si>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</si>
  <si>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</si>
  <si>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</si>
  <si>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</si>
  <si>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</si>
  <si>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</si>
  <si>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</si>
  <si>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</si>
  <si>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</si>
  <si>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</si>
  <si>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</si>
  <si>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</si>
  <si>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</si>
  <si>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</si>
  <si>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</si>
  <si>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</si>
  <si>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d.d., Zagreb</t>
  </si>
  <si>
    <t>10 000</t>
  </si>
  <si>
    <t>Zagreb</t>
  </si>
  <si>
    <t>Avenija Većeslava Holjevca 10</t>
  </si>
  <si>
    <t>investitori@ina.hr</t>
  </si>
  <si>
    <t>www.ina.hr</t>
  </si>
  <si>
    <t>ZAGREB</t>
  </si>
  <si>
    <t>GRAD ZAGREB</t>
  </si>
  <si>
    <t>NE</t>
  </si>
  <si>
    <t>Top Računovodstvo Servisi d.o.o.; Član INA Grupe</t>
  </si>
  <si>
    <t xml:space="preserve">Ratko Marković </t>
  </si>
  <si>
    <t>01 612-3143</t>
  </si>
  <si>
    <t>01 612-3115</t>
  </si>
  <si>
    <t>Ratko.Markovic@trs.ina.hr </t>
  </si>
  <si>
    <t>Zoltán Sándor Áldott</t>
  </si>
  <si>
    <t>Obveznik: INA - Industrija nafte d.d., Zagreb</t>
  </si>
  <si>
    <t>1920</t>
  </si>
  <si>
    <t>1.1.2016.</t>
  </si>
  <si>
    <t>01.01.2016.</t>
  </si>
  <si>
    <t>stanje na dan 30.09.2016.</t>
  </si>
  <si>
    <t>u razdoblju 01.01.2016.do 30.09.2016.</t>
  </si>
  <si>
    <t>u razdoblju 01.01.2016. do 30.09.2016.</t>
  </si>
  <si>
    <t>30.09.2016.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</si>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</sst>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7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4" fillId="0" borderId="25" xfId="63" applyFont="1" applyFill="1" applyBorder="1" applyAlignment="1" applyProtection="1">
      <alignment vertical="center"/>
      <protection hidden="1"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 applyProtection="1">
      <alignment horizontal="right" wrapText="1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3" applyFont="1" applyBorder="1" applyAlignment="1" applyProtection="1">
      <alignment horizontal="left"/>
      <protection hidden="1"/>
    </xf>
    <xf numFmtId="0" fontId="19" fillId="0" borderId="0" xfId="63" applyFont="1" applyBorder="1" applyAlignment="1">
      <alignment/>
      <protection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6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70" zoomScaleSheetLayoutView="70" zoomScalePageLayoutView="0" workbookViewId="0" topLeftCell="A1">
      <selection activeCell="C12" sqref="C12:I1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9" t="s">
        <v>343</v>
      </c>
      <c r="F2" s="12"/>
      <c r="G2" s="13" t="s">
        <v>250</v>
      </c>
      <c r="H2" s="119" t="s">
        <v>348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9" t="s">
        <v>255</v>
      </c>
      <c r="B14" s="140"/>
      <c r="C14" s="146" t="s">
        <v>327</v>
      </c>
      <c r="D14" s="147"/>
      <c r="E14" s="16"/>
      <c r="F14" s="143" t="s">
        <v>328</v>
      </c>
      <c r="G14" s="144"/>
      <c r="H14" s="144"/>
      <c r="I14" s="14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9" t="s">
        <v>256</v>
      </c>
      <c r="B16" s="140"/>
      <c r="C16" s="143" t="s">
        <v>329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9" t="s">
        <v>257</v>
      </c>
      <c r="B18" s="140"/>
      <c r="C18" s="148" t="s">
        <v>330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9" t="s">
        <v>258</v>
      </c>
      <c r="B20" s="140"/>
      <c r="C20" s="148" t="s">
        <v>331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9" t="s">
        <v>259</v>
      </c>
      <c r="B22" s="140"/>
      <c r="C22" s="120">
        <v>133</v>
      </c>
      <c r="D22" s="143" t="s">
        <v>332</v>
      </c>
      <c r="E22" s="151"/>
      <c r="F22" s="152"/>
      <c r="G22" s="139"/>
      <c r="H22" s="15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9" t="s">
        <v>260</v>
      </c>
      <c r="B24" s="140"/>
      <c r="C24" s="120">
        <v>21</v>
      </c>
      <c r="D24" s="143" t="s">
        <v>333</v>
      </c>
      <c r="E24" s="151"/>
      <c r="F24" s="151"/>
      <c r="G24" s="152"/>
      <c r="H24" s="51" t="s">
        <v>261</v>
      </c>
      <c r="I24" s="127">
        <v>4443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39" t="s">
        <v>262</v>
      </c>
      <c r="B26" s="140"/>
      <c r="C26" s="121" t="s">
        <v>334</v>
      </c>
      <c r="D26" s="25"/>
      <c r="E26" s="33"/>
      <c r="F26" s="24"/>
      <c r="G26" s="154" t="s">
        <v>263</v>
      </c>
      <c r="H26" s="140"/>
      <c r="I26" s="122" t="s">
        <v>342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3"/>
      <c r="B31" s="22"/>
      <c r="C31" s="21"/>
      <c r="D31" s="165"/>
      <c r="E31" s="165"/>
      <c r="F31" s="165"/>
      <c r="G31" s="166"/>
      <c r="H31" s="16"/>
      <c r="I31" s="100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2"/>
      <c r="B37" s="30"/>
      <c r="C37" s="167"/>
      <c r="D37" s="168"/>
      <c r="E37" s="16"/>
      <c r="F37" s="167"/>
      <c r="G37" s="168"/>
      <c r="H37" s="16"/>
      <c r="I37" s="94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 t="s">
        <v>335</v>
      </c>
      <c r="G44" s="163"/>
      <c r="H44" s="163"/>
      <c r="I44" s="164"/>
      <c r="J44" s="10"/>
      <c r="K44" s="10"/>
      <c r="L44" s="10"/>
    </row>
    <row r="45" spans="1:12" ht="12.75">
      <c r="A45" s="102"/>
      <c r="B45" s="30"/>
      <c r="C45" s="167"/>
      <c r="D45" s="168"/>
      <c r="E45" s="16"/>
      <c r="F45" s="167"/>
      <c r="G45" s="169"/>
      <c r="H45" s="35"/>
      <c r="I45" s="106"/>
      <c r="J45" s="10"/>
      <c r="K45" s="10"/>
      <c r="L45" s="10"/>
    </row>
    <row r="46" spans="1:12" ht="12.75">
      <c r="A46" s="128" t="s">
        <v>268</v>
      </c>
      <c r="B46" s="172"/>
      <c r="C46" s="143" t="s">
        <v>336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8" t="s">
        <v>270</v>
      </c>
      <c r="B48" s="172"/>
      <c r="C48" s="173" t="s">
        <v>337</v>
      </c>
      <c r="D48" s="174"/>
      <c r="E48" s="175"/>
      <c r="F48" s="16"/>
      <c r="G48" s="51" t="s">
        <v>271</v>
      </c>
      <c r="H48" s="173" t="s">
        <v>338</v>
      </c>
      <c r="I48" s="175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8" t="s">
        <v>257</v>
      </c>
      <c r="B50" s="172"/>
      <c r="C50" s="184" t="s">
        <v>339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9" t="s">
        <v>272</v>
      </c>
      <c r="B52" s="140"/>
      <c r="C52" s="173" t="s">
        <v>340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7"/>
      <c r="B53" s="20"/>
      <c r="C53" s="178" t="s">
        <v>273</v>
      </c>
      <c r="D53" s="178"/>
      <c r="E53" s="178"/>
      <c r="F53" s="178"/>
      <c r="G53" s="178"/>
      <c r="H53" s="178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5" t="s">
        <v>274</v>
      </c>
      <c r="C55" s="186"/>
      <c r="D55" s="186"/>
      <c r="E55" s="186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7"/>
      <c r="B57" s="187" t="s">
        <v>307</v>
      </c>
      <c r="C57" s="188"/>
      <c r="D57" s="188"/>
      <c r="E57" s="188"/>
      <c r="F57" s="188"/>
      <c r="G57" s="188"/>
      <c r="H57" s="188"/>
      <c r="I57" s="109"/>
      <c r="J57" s="10"/>
      <c r="K57" s="10"/>
      <c r="L57" s="10"/>
    </row>
    <row r="58" spans="1:12" ht="12.75">
      <c r="A58" s="107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7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2"/>
      <c r="H63" s="183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80" zoomScaleSheetLayoutView="80" zoomScalePageLayoutView="0" workbookViewId="0" topLeftCell="B72">
      <selection activeCell="K88" sqref="K87:K88"/>
    </sheetView>
  </sheetViews>
  <sheetFormatPr defaultColWidth="9.140625" defaultRowHeight="12.75"/>
  <cols>
    <col min="1" max="9" width="9.140625" style="52" customWidth="1"/>
    <col min="10" max="10" width="12.140625" style="52" bestFit="1" customWidth="1"/>
    <col min="11" max="11" width="13.5742187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341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16366000000</v>
      </c>
      <c r="K8" s="53">
        <f>K9+K16+K26+K35+K39</f>
        <v>15803000000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426000000</v>
      </c>
      <c r="K9" s="53">
        <f>SUM(K10:K15)</f>
        <v>394000000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163000000</v>
      </c>
      <c r="K11" s="7">
        <v>153000000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41000000</v>
      </c>
      <c r="K13" s="7">
        <v>29000000</v>
      </c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222000000</v>
      </c>
      <c r="K14" s="7">
        <v>212000000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11557000000</v>
      </c>
      <c r="K16" s="53">
        <f>SUM(K17:K25)</f>
        <v>11214000000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1022000000</v>
      </c>
      <c r="K17" s="7">
        <v>1012000000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5183000000</v>
      </c>
      <c r="K18" s="7">
        <v>5305000000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2538000000</v>
      </c>
      <c r="K19" s="7">
        <v>2411000000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267000000</v>
      </c>
      <c r="K20" s="7">
        <v>248000000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15000000</v>
      </c>
      <c r="K22" s="7">
        <v>21000000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2525000000</v>
      </c>
      <c r="K23" s="7">
        <v>2210000000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3000000</v>
      </c>
      <c r="K24" s="7">
        <v>3000000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4000000</v>
      </c>
      <c r="K25" s="7">
        <v>4000000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2295000000</v>
      </c>
      <c r="K26" s="53">
        <f>SUM(K27:K34)</f>
        <v>2164000000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1000000000</v>
      </c>
      <c r="K27" s="7">
        <v>772000000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678000000</v>
      </c>
      <c r="K28" s="7">
        <v>716000000</v>
      </c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29000000</v>
      </c>
      <c r="K29" s="7">
        <v>27000000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7000000</v>
      </c>
      <c r="K32" s="7">
        <v>7000000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581000000</v>
      </c>
      <c r="K33" s="7">
        <v>642000000</v>
      </c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93000000</v>
      </c>
      <c r="K35" s="53">
        <f>SUM(K36:K38)</f>
        <v>115000000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11000000</v>
      </c>
      <c r="K36" s="7">
        <v>11000000</v>
      </c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82000000</v>
      </c>
      <c r="K37" s="7">
        <v>104000000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1995000000</v>
      </c>
      <c r="K39" s="7">
        <v>1916000000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3408000000</v>
      </c>
      <c r="K40" s="53">
        <f>K41+K49+K56+K64</f>
        <v>4027000000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1597000000</v>
      </c>
      <c r="K41" s="53">
        <f>SUM(K42:K48)</f>
        <v>1875000000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531000000</v>
      </c>
      <c r="K42" s="7">
        <v>769000000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515000000</v>
      </c>
      <c r="K43" s="7">
        <v>625000000</v>
      </c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375000000</v>
      </c>
      <c r="K44" s="7">
        <v>410000000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176000000</v>
      </c>
      <c r="K45" s="7">
        <v>71000000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1408000000</v>
      </c>
      <c r="K49" s="53">
        <f>SUM(K50:K55)</f>
        <v>1692000000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140000000</v>
      </c>
      <c r="K50" s="7">
        <v>210000000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1176000000</v>
      </c>
      <c r="K51" s="7">
        <v>1333000000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3000000</v>
      </c>
      <c r="K53" s="7">
        <v>4000000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21000000</v>
      </c>
      <c r="K54" s="7">
        <v>87000000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68000000</v>
      </c>
      <c r="K55" s="7">
        <v>58000000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208000000</v>
      </c>
      <c r="K56" s="53">
        <f>SUM(K57:K63)</f>
        <v>362000000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>
        <v>0</v>
      </c>
      <c r="K57" s="7">
        <v>327000000</v>
      </c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178000000</v>
      </c>
      <c r="K62" s="7">
        <v>14000000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30000000</v>
      </c>
      <c r="K63" s="7">
        <v>21000000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195000000</v>
      </c>
      <c r="K64" s="7">
        <v>98000000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42000000</v>
      </c>
      <c r="K65" s="7">
        <v>80000000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19816000000</v>
      </c>
      <c r="K66" s="53">
        <f>K7+K8+K40+K65</f>
        <v>19910000000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 t="s">
        <v>349</v>
      </c>
      <c r="K69" s="54">
        <f>K70+K71+K72+K78+K79+K82+K85</f>
        <v>10726000000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9000000000</v>
      </c>
      <c r="K70" s="7">
        <v>9000000000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1603000000</v>
      </c>
      <c r="K72" s="53">
        <f>K73+K74-K75+K76+K77</f>
        <v>1214000000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330000000</v>
      </c>
      <c r="K73" s="7">
        <v>20000000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1273000000</v>
      </c>
      <c r="K77" s="7">
        <v>1194000000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216000000</v>
      </c>
      <c r="K78" s="7">
        <v>264000000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892000000</v>
      </c>
      <c r="K79" s="53">
        <f>K80-K81</f>
        <v>0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892000000</v>
      </c>
      <c r="K80" s="7">
        <v>0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-1202000000</v>
      </c>
      <c r="K82" s="53">
        <f>K83-K84</f>
        <v>248000000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>
        <v>248000000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1202000000</v>
      </c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3907000000</v>
      </c>
      <c r="K86" s="53">
        <f>SUM(K87:K89)</f>
        <v>3491000000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70000000</v>
      </c>
      <c r="K87" s="7">
        <v>50000000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3837000000</v>
      </c>
      <c r="K89" s="7">
        <v>3441000000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465000000</v>
      </c>
      <c r="K90" s="53">
        <f>SUM(K91:K99)</f>
        <v>316000000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400000000</v>
      </c>
      <c r="K93" s="7">
        <v>256000000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65000000</v>
      </c>
      <c r="K98" s="7">
        <v>60000000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4918000000</v>
      </c>
      <c r="K100" s="53">
        <f>SUM(K101:K112)</f>
        <v>5364000000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488000000</v>
      </c>
      <c r="K101" s="7">
        <v>466000000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2641000000</v>
      </c>
      <c r="K103" s="7">
        <v>2829000000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23000000</v>
      </c>
      <c r="K104" s="7">
        <f>116000000-1000000</f>
        <v>115000000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967000000</v>
      </c>
      <c r="K105" s="7">
        <v>1242000000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83000000</v>
      </c>
      <c r="K108" s="7">
        <v>38000000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606000000</v>
      </c>
      <c r="K109" s="7">
        <v>570000000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110000000</v>
      </c>
      <c r="K112" s="7">
        <v>104000000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17000000</v>
      </c>
      <c r="K113" s="7">
        <v>13000000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 t="e">
        <f>J69+J86+J90+J100+J113</f>
        <v>#VALUE!</v>
      </c>
      <c r="K114" s="53">
        <f>K69+K86+K90+K100+K113</f>
        <v>19910000000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view="pageBreakPreview" zoomScale="80" zoomScaleSheetLayoutView="80" zoomScalePageLayoutView="0" workbookViewId="0" topLeftCell="C49">
      <selection activeCell="J56" sqref="J56:M67"/>
    </sheetView>
  </sheetViews>
  <sheetFormatPr defaultColWidth="9.140625" defaultRowHeight="12.75"/>
  <cols>
    <col min="1" max="6" width="9.140625" style="52" customWidth="1"/>
    <col min="7" max="7" width="4.28125" style="52" customWidth="1"/>
    <col min="8" max="8" width="9.140625" style="52" hidden="1" customWidth="1"/>
    <col min="9" max="9" width="9.140625" style="52" customWidth="1"/>
    <col min="10" max="10" width="12.140625" style="52" bestFit="1" customWidth="1"/>
    <col min="11" max="11" width="11.28125" style="52" bestFit="1" customWidth="1"/>
    <col min="12" max="12" width="11.57421875" style="52" bestFit="1" customWidth="1"/>
    <col min="13" max="13" width="11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13791000000</v>
      </c>
      <c r="K7" s="54">
        <f>SUM(K8:K9)</f>
        <v>5301000000</v>
      </c>
      <c r="L7" s="54">
        <f>SUM(L8:L9)</f>
        <v>10419000000</v>
      </c>
      <c r="M7" s="54">
        <f>SUM(M8:M9)</f>
        <v>4453000000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13562000000</v>
      </c>
      <c r="K8" s="7">
        <v>5221000000</v>
      </c>
      <c r="L8" s="7">
        <v>10285000000</v>
      </c>
      <c r="M8" s="7">
        <v>4421000000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229000000</v>
      </c>
      <c r="K9" s="7">
        <v>80000000</v>
      </c>
      <c r="L9" s="7">
        <v>134000000</v>
      </c>
      <c r="M9" s="7">
        <v>32000000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13010000000</v>
      </c>
      <c r="K10" s="53">
        <f>K11+K12+K16+K20+K21+K22+K25+K26</f>
        <v>5152000000</v>
      </c>
      <c r="L10" s="53">
        <f>L11+L12+L16+L20+L21+L22+L25+L26</f>
        <v>9914000000</v>
      </c>
      <c r="M10" s="53">
        <f>M11+M12+M16+M20+M21+M22+M25+M26</f>
        <v>4004000000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-74000000</v>
      </c>
      <c r="K11" s="7">
        <v>180000000</v>
      </c>
      <c r="L11" s="7">
        <v>-158000000</v>
      </c>
      <c r="M11" s="7">
        <v>169000000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10257000000</v>
      </c>
      <c r="K12" s="53">
        <f>SUM(K13:K15)</f>
        <v>3924000000</v>
      </c>
      <c r="L12" s="53">
        <f>SUM(L13:L15)</f>
        <v>7723000000</v>
      </c>
      <c r="M12" s="53">
        <f>SUM(M13:M15)</f>
        <v>3071000000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6656000000</v>
      </c>
      <c r="K13" s="7">
        <v>2739000000</v>
      </c>
      <c r="L13" s="7">
        <v>4747000000</v>
      </c>
      <c r="M13" s="7">
        <v>2155000000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2026000000</v>
      </c>
      <c r="K14" s="7">
        <v>677000000</v>
      </c>
      <c r="L14" s="7">
        <v>1619000000</v>
      </c>
      <c r="M14" s="7">
        <v>431000000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1575000000</v>
      </c>
      <c r="K15" s="7">
        <v>508000000</v>
      </c>
      <c r="L15" s="7">
        <v>1357000000</v>
      </c>
      <c r="M15" s="7">
        <v>485000000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1029000000</v>
      </c>
      <c r="K16" s="53">
        <f>SUM(K17:K19)</f>
        <v>340000000</v>
      </c>
      <c r="L16" s="53">
        <f>SUM(L17:L19)</f>
        <v>777000000</v>
      </c>
      <c r="M16" s="53">
        <f>SUM(M17:M19)</f>
        <v>214000000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591000000</v>
      </c>
      <c r="K17" s="7">
        <v>196000000</v>
      </c>
      <c r="L17" s="7">
        <v>429000000</v>
      </c>
      <c r="M17" s="7">
        <v>120000000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283000000</v>
      </c>
      <c r="K18" s="7">
        <v>93000000</v>
      </c>
      <c r="L18" s="7">
        <v>233000000</v>
      </c>
      <c r="M18" s="7">
        <v>62000000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155000000</v>
      </c>
      <c r="K19" s="7">
        <v>51000000</v>
      </c>
      <c r="L19" s="7">
        <v>115000000</v>
      </c>
      <c r="M19" s="7">
        <v>32000000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1164000000</v>
      </c>
      <c r="K20" s="7">
        <v>396000000</v>
      </c>
      <c r="L20" s="7">
        <v>1176000000</v>
      </c>
      <c r="M20" s="7">
        <v>400000000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587000000</v>
      </c>
      <c r="K21" s="7">
        <v>207000000</v>
      </c>
      <c r="L21" s="7">
        <v>778000000</v>
      </c>
      <c r="M21" s="7">
        <v>193000000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119000000</v>
      </c>
      <c r="K22" s="53">
        <f>SUM(K23:K24)</f>
        <v>51000000</v>
      </c>
      <c r="L22" s="53">
        <f>SUM(L23:L24)</f>
        <v>56000000</v>
      </c>
      <c r="M22" s="53">
        <f>SUM(M23:M24)</f>
        <v>-6000000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>
        <v>32000000</v>
      </c>
      <c r="K23" s="7">
        <v>3000000</v>
      </c>
      <c r="L23" s="7">
        <v>23000000</v>
      </c>
      <c r="M23" s="7">
        <v>5000000</v>
      </c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87000000</v>
      </c>
      <c r="K24" s="7">
        <v>48000000</v>
      </c>
      <c r="L24" s="7">
        <v>33000000</v>
      </c>
      <c r="M24" s="7">
        <v>-11000000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-72000000</v>
      </c>
      <c r="K25" s="7">
        <v>54000000</v>
      </c>
      <c r="L25" s="7">
        <v>-438000000</v>
      </c>
      <c r="M25" s="7">
        <v>-37000000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185000000</v>
      </c>
      <c r="K27" s="53">
        <f>SUM(K28:K32)</f>
        <v>38000000</v>
      </c>
      <c r="L27" s="53">
        <f>SUM(L28:L32)</f>
        <v>199000000</v>
      </c>
      <c r="M27" s="53">
        <f>SUM(M28:M32)</f>
        <v>49000000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106000000</v>
      </c>
      <c r="K28" s="7">
        <v>15000000</v>
      </c>
      <c r="L28" s="7">
        <v>47000000</v>
      </c>
      <c r="M28" s="7">
        <v>20000000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62000000</v>
      </c>
      <c r="K29" s="7">
        <v>23000000</v>
      </c>
      <c r="L29" s="7">
        <v>134000000</v>
      </c>
      <c r="M29" s="7">
        <v>13000000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17000000</v>
      </c>
      <c r="K32" s="7">
        <v>0</v>
      </c>
      <c r="L32" s="7">
        <f>18000000</f>
        <v>18000000</v>
      </c>
      <c r="M32" s="7">
        <v>16000000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373000000</v>
      </c>
      <c r="K33" s="53">
        <f>SUM(K34:K37)</f>
        <v>45000000</v>
      </c>
      <c r="L33" s="53">
        <f>SUM(L34:L37)</f>
        <v>351000000</v>
      </c>
      <c r="M33" s="53">
        <f>SUM(M34:M37)</f>
        <v>178000000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6000000</v>
      </c>
      <c r="K34" s="7">
        <v>-2000000</v>
      </c>
      <c r="L34" s="7">
        <v>34000000</v>
      </c>
      <c r="M34" s="7">
        <v>12000000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244000000</v>
      </c>
      <c r="K35" s="7">
        <v>9000000</v>
      </c>
      <c r="L35" s="7">
        <v>47000000</v>
      </c>
      <c r="M35" s="7">
        <v>-4000000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>
        <v>0</v>
      </c>
      <c r="L36" s="7"/>
      <c r="M36" s="7">
        <v>0</v>
      </c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123000000</v>
      </c>
      <c r="K37" s="7">
        <v>38000000</v>
      </c>
      <c r="L37" s="7">
        <v>270000000</v>
      </c>
      <c r="M37" s="7">
        <v>170000000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13976000000</v>
      </c>
      <c r="K42" s="53">
        <f>K7+K27+K38+K40</f>
        <v>5339000000</v>
      </c>
      <c r="L42" s="53">
        <f>L7+L27+L38+L40</f>
        <v>10618000000</v>
      </c>
      <c r="M42" s="53">
        <f>M7+M27+M38+M40</f>
        <v>4502000000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13383000000</v>
      </c>
      <c r="K43" s="53">
        <f>K10+K33+K39+K41</f>
        <v>5197000000</v>
      </c>
      <c r="L43" s="53">
        <f>L10+L33+L39+L41</f>
        <v>10265000000</v>
      </c>
      <c r="M43" s="53">
        <f>M10+M33+M39+M41</f>
        <v>4182000000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593000000</v>
      </c>
      <c r="K44" s="53">
        <f>K42-K43</f>
        <v>142000000</v>
      </c>
      <c r="L44" s="53">
        <f>L42-L43</f>
        <v>353000000</v>
      </c>
      <c r="M44" s="53">
        <f>M42-M43</f>
        <v>320000000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593000000</v>
      </c>
      <c r="K45" s="53">
        <f>IF(K42&gt;K43,K42-K43,0)</f>
        <v>142000000</v>
      </c>
      <c r="L45" s="53">
        <f>IF(L42&gt;L43,L42-L43,0)</f>
        <v>353000000</v>
      </c>
      <c r="M45" s="53">
        <f>IF(M42&gt;M43,M42-M43,0)</f>
        <v>320000000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135000000</v>
      </c>
      <c r="K47" s="7">
        <v>43000000</v>
      </c>
      <c r="L47" s="7">
        <v>105000000</v>
      </c>
      <c r="M47" s="7">
        <v>65000000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458000000</v>
      </c>
      <c r="K48" s="53">
        <f>K44-K47</f>
        <v>99000000</v>
      </c>
      <c r="L48" s="53">
        <f>L44-L47</f>
        <v>248000000</v>
      </c>
      <c r="M48" s="53">
        <f>M44-M47</f>
        <v>255000000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458000000</v>
      </c>
      <c r="K49" s="53">
        <f>IF(K48&gt;0,K48,0)</f>
        <v>99000000</v>
      </c>
      <c r="L49" s="53">
        <f>IF(L48&gt;0,L48,0)</f>
        <v>248000000</v>
      </c>
      <c r="M49" s="53">
        <f>IF(M48&gt;0,M48,0)</f>
        <v>255000000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f>J48</f>
        <v>458000000</v>
      </c>
      <c r="K56" s="6">
        <f>K48</f>
        <v>99000000</v>
      </c>
      <c r="L56" s="6">
        <f>L48</f>
        <v>248000000</v>
      </c>
      <c r="M56" s="6">
        <f>M48</f>
        <v>255000000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350000000</v>
      </c>
      <c r="K57" s="53">
        <f>SUM(K58:K64)</f>
        <v>-13000000</v>
      </c>
      <c r="L57" s="53">
        <f>SUM(L58:L64)</f>
        <v>-31000000</v>
      </c>
      <c r="M57" s="53">
        <f>SUM(M58:M64)</f>
        <v>15000000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>
        <v>257000000</v>
      </c>
      <c r="K58" s="7">
        <v>-16000000</v>
      </c>
      <c r="L58" s="7">
        <v>-78000000</v>
      </c>
      <c r="M58" s="7">
        <v>-22000000</v>
      </c>
    </row>
    <row r="59" spans="1:13" ht="21" customHeight="1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>
        <v>0</v>
      </c>
      <c r="L59" s="7"/>
      <c r="M59" s="7">
        <v>0</v>
      </c>
    </row>
    <row r="60" spans="1:13" ht="28.5" customHeight="1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>
        <v>71000000</v>
      </c>
      <c r="K60" s="7">
        <v>-4000000</v>
      </c>
      <c r="L60" s="7">
        <v>48000000</v>
      </c>
      <c r="M60" s="7">
        <v>39000000</v>
      </c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>
        <v>0</v>
      </c>
      <c r="L61" s="7"/>
      <c r="M61" s="7">
        <v>0</v>
      </c>
    </row>
    <row r="62" spans="1:13" ht="27" customHeight="1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>
        <v>0</v>
      </c>
      <c r="L62" s="7"/>
      <c r="M62" s="7">
        <v>0</v>
      </c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>
        <v>0</v>
      </c>
      <c r="L63" s="7"/>
      <c r="M63" s="7">
        <v>0</v>
      </c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>
        <v>22000000</v>
      </c>
      <c r="K64" s="7">
        <v>7000000</v>
      </c>
      <c r="L64" s="7">
        <v>-1000000</v>
      </c>
      <c r="M64" s="7">
        <v>-2000000</v>
      </c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350000000</v>
      </c>
      <c r="K66" s="53">
        <f>K57-K65</f>
        <v>-13000000</v>
      </c>
      <c r="L66" s="53">
        <f>L57-L65</f>
        <v>-31000000</v>
      </c>
      <c r="M66" s="53">
        <f>M57-M65</f>
        <v>15000000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J66+J56</f>
        <v>808000000</v>
      </c>
      <c r="K67" s="61">
        <f>K56+K66</f>
        <v>86000000</v>
      </c>
      <c r="L67" s="61">
        <f>L56+L66</f>
        <v>217000000</v>
      </c>
      <c r="M67" s="61">
        <f>M56+M66</f>
        <v>270000000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80" zoomScaleSheetLayoutView="80" zoomScalePageLayoutView="0" workbookViewId="0" topLeftCell="B26">
      <selection activeCell="J35" sqref="J35:K52"/>
    </sheetView>
  </sheetViews>
  <sheetFormatPr defaultColWidth="9.140625" defaultRowHeight="12.75"/>
  <cols>
    <col min="1" max="9" width="9.140625" style="52" customWidth="1"/>
    <col min="10" max="10" width="12.7109375" style="52" bestFit="1" customWidth="1"/>
    <col min="11" max="11" width="13.28125" style="52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341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593000000</v>
      </c>
      <c r="K7" s="7">
        <v>353000000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1164000000</v>
      </c>
      <c r="K8" s="7">
        <v>1176000000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>
        <f>244000000-38000000</f>
        <v>206000000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288000000</v>
      </c>
      <c r="K12" s="7">
        <v>287000000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53">
        <v>2045000000</v>
      </c>
      <c r="K13" s="53">
        <f>SUM(K7:K12)</f>
        <v>2022000000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268000000</v>
      </c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176000000</v>
      </c>
      <c r="K15" s="7">
        <v>454000000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297000000</v>
      </c>
      <c r="K16" s="7">
        <v>270000000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188000000</v>
      </c>
      <c r="K17" s="7">
        <f>553000000</f>
        <v>553000000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3">
        <f>SUM(J14:J17)</f>
        <v>929000000</v>
      </c>
      <c r="K18" s="53">
        <f>SUM(K14:K17)</f>
        <v>1277000000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v>1116000000</v>
      </c>
      <c r="K19" s="53">
        <f>IF(K13&gt;K18,K13-K18,0)</f>
        <v>745000000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3000000</v>
      </c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41000000</v>
      </c>
      <c r="K24" s="7">
        <v>42000000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25000000</v>
      </c>
      <c r="K26" s="7">
        <v>31000000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53">
        <v>69000000</v>
      </c>
      <c r="K27" s="53">
        <v>73000000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888000000</v>
      </c>
      <c r="K28" s="7">
        <v>917000000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104000000</v>
      </c>
      <c r="K30" s="7">
        <v>91000000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53">
        <f>SUM(J28:J30)</f>
        <v>992000000</v>
      </c>
      <c r="K31" s="53">
        <f>SUM(K28:K30)</f>
        <v>1008000000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53">
        <f>IF(J31&gt;J27,J31-J27,0)</f>
        <v>923000000</v>
      </c>
      <c r="K33" s="53">
        <f>IF(K31&gt;K27,K31-K27,0)</f>
        <v>935000000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11842000000</v>
      </c>
      <c r="K36" s="7">
        <v>9045000000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61000000</v>
      </c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53">
        <f>SUM(J35:J37)</f>
        <v>11903000000</v>
      </c>
      <c r="K38" s="53">
        <f>SUM(K35:K37)</f>
        <v>9045000000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12197000000</v>
      </c>
      <c r="K39" s="7">
        <v>8913000000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150000000</v>
      </c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15000000</v>
      </c>
      <c r="K43" s="7">
        <v>39000000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53">
        <f>SUM(J39:J43)</f>
        <v>12362000000</v>
      </c>
      <c r="K44" s="53">
        <f>SUM(K39:K43)</f>
        <v>8952000000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53">
        <f>IF(J38&gt;J44,J38-J44,0)</f>
        <v>0</v>
      </c>
      <c r="K45" s="53">
        <f>IF(K38&gt;K44,K38-K44,0)</f>
        <v>93000000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53">
        <f>IF(J44&gt;J38,J44-J38,0)</f>
        <v>459000000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53">
        <f>IF(J20-J19+J33-J32+J46-J45&gt;0,J20-J19+J33-J32+J46-J45,0)</f>
        <v>266000000</v>
      </c>
      <c r="K48" s="53">
        <f>IF(K20-K19+K33-K32+K46-K45&gt;0,K20-K19+K33-K32+K46-K45,0)</f>
        <v>97000000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327000000</v>
      </c>
      <c r="K49" s="7">
        <v>195000000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7">
        <v>266000000</v>
      </c>
      <c r="K51" s="7">
        <f>-K19+K20-K32+K33-K45+K46</f>
        <v>97000000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1">
        <f>J49+J50-J51</f>
        <v>61000000</v>
      </c>
      <c r="K52" s="61">
        <f>K49+K50-K51</f>
        <v>98000000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82" zoomScaleSheetLayoutView="82" zoomScalePageLayoutView="0" workbookViewId="0" topLeftCell="A1">
      <selection activeCell="A17" sqref="A17:H17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73" zoomScaleSheetLayoutView="73" zoomScalePageLayoutView="0" workbookViewId="0" topLeftCell="A1">
      <selection activeCell="M19" sqref="M19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2.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126" t="s">
        <v>344</v>
      </c>
      <c r="F2" s="43" t="s">
        <v>250</v>
      </c>
      <c r="G2" s="269" t="s">
        <v>348</v>
      </c>
      <c r="H2" s="270"/>
      <c r="I2" s="74"/>
      <c r="J2" s="74"/>
      <c r="K2" s="74"/>
      <c r="L2" s="77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0" t="s">
        <v>305</v>
      </c>
      <c r="J3" s="81" t="s">
        <v>150</v>
      </c>
      <c r="K3" s="81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3">
        <v>2</v>
      </c>
      <c r="J4" s="82" t="s">
        <v>283</v>
      </c>
      <c r="K4" s="82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9000000000</v>
      </c>
      <c r="K5" s="45">
        <v>9000000000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1168000000</v>
      </c>
      <c r="K7" s="46">
        <v>1194000000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1316000000</v>
      </c>
      <c r="K8" s="46">
        <v>20000000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458000000</v>
      </c>
      <c r="K9" s="46">
        <v>248000000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>
        <v>192000000</v>
      </c>
      <c r="K12" s="46">
        <v>264000000</v>
      </c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8">
        <f>SUM(J5:J13)</f>
        <v>12134000000</v>
      </c>
      <c r="K14" s="78">
        <f>SUM(K5:K13)</f>
        <v>10726000000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>
        <f>RDG!J58</f>
        <v>257000000</v>
      </c>
      <c r="K15" s="46">
        <f>RDG!L58</f>
        <v>-78000000</v>
      </c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>
        <f>RDG!J56+RDG!J60+RDG!J64</f>
        <v>551000000</v>
      </c>
      <c r="K20" s="46">
        <f>RDG!L56+RDG!L60+RDG!L64</f>
        <v>295000000</v>
      </c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79">
        <f>SUM(J15:J20)</f>
        <v>808000000</v>
      </c>
      <c r="K21" s="79">
        <f>SUM(K15:K20)</f>
        <v>217000000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79"/>
      <c r="K24" s="79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C14" sqref="C1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Kolar Ivan</cp:lastModifiedBy>
  <cp:lastPrinted>2016-07-25T08:47:52Z</cp:lastPrinted>
  <dcterms:created xsi:type="dcterms:W3CDTF">2008-10-17T11:51:54Z</dcterms:created>
  <dcterms:modified xsi:type="dcterms:W3CDTF">2016-10-28T08:57:34Z</dcterms:modified>
  <cp:category/>
  <cp:version/>
  <cp:contentType/>
  <cp:contentStatus/>
</cp:coreProperties>
</file>