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2235" firstSheet="1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<sst xmlns="http://schemas.openxmlformats.org/spreadsheetml/2006/main" count="404" uniqueCount="351">
  <si>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</si>
  <si>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</si>
  <si>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</si>
  <si>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</si>
  <si>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</si>
  <si>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</si>
  <si>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</si>
  <si>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</si>
  <si>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</si>
  <si>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</si>
  <si>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</si>
  <si>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</si>
  <si>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</si>
  <si>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</si>
  <si>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</si>
  <si>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</si>
  <si>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</si>
  <si>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</si>
  <si>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</si>
  <si>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</si>
  <si>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</si>
  <si>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</si>
  <si>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</si>
  <si>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</si>
  <si>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</si>
  <si>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</si>
  <si>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</si>
  <si>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</si>
  <si>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</si>
  <si>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</si>
  <si>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</si>
  <si>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</si>
  <si>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</si>
  <si>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</si>
  <si>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</si>
  <si>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</si>
  <si>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</si>
  <si>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</si>
  <si>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</si>
  <si>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</si>
  <si>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</si>
  <si>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</si>
  <si>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</si>
  <si>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</si>
  <si>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</si>
  <si>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</si>
  <si>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</si>
  <si>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</si>
  <si>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</si>
  <si>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</si>
  <si>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</si>
  <si>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</si>
  <si>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</si>
  <si>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</si>
  <si>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</si>
  <si>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</si>
  <si>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</si>
  <si>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</si>
  <si>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</si>
  <si>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</si>
  <si>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</si>
  <si>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</si>
  <si>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</si>
  <si>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</si>
  <si>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</si>
  <si>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</si>
  <si>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</si>
  <si>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</si>
  <si>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</si>
  <si>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</si>
  <si>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</si>
  <si>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</si>
  <si>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</si>
  <si>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</si>
  <si>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</si>
  <si>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</si>
  <si>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</si>
  <si>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</si>
  <si>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</si>
  <si>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</si>
  <si>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</si>
  <si>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</si>
  <si>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</si>
  <si>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</si>
  <si>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</si>
  <si>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</si>
  <si>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</si>
  <si>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</si>
  <si>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</si>
  <si>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</si>
  <si>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</si>
  <si>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</si>
  <si>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</si>
  <si>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</si>
  <si>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</si>
  <si>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</si>
  <si>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</si>
  <si>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</si>
  <si>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</si>
  <si>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</si>
  <si>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</si>
  <si>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</si>
  <si>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</si>
  <si>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</si>
  <si>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</si>
  <si>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</si>
  <si>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</si>
  <si>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</si>
  <si>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</si>
  <si>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</si>
  <si>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</si>
  <si>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</si>
  <si>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</si>
  <si>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</si>
  <si>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</si>
  <si>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</si>
  <si>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</si>
  <si>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</si>
  <si>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</si>
  <si>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</si>
  <si>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</si>
  <si>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</si>
  <si>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</si>
  <si>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</si>
  <si>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</si>
  <si>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</si>
  <si>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</si>
  <si>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</si>
  <si>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</si>
  <si>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</si>
  <si>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</si>
  <si>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</si>
  <si>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</si>
  <si>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</si>
  <si>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</si>
  <si>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</si>
  <si>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</si>
  <si>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</si>
  <si>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</si>
  <si>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</si>
  <si>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</si>
  <si>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</si>
  <si>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</si>
  <si>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</si>
  <si>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</si>
  <si>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</si>
  <si>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</si>
  <si>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</si>
  <si>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</si>
  <si>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</si>
  <si>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</si>
  <si>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</si>
  <si>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</si>
  <si>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</si>
  <si>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</si>
  <si>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</si>
  <si>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</si>
  <si>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</si>
  <si>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</si>
  <si>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</si>
  <si>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</si>
  <si>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</si>
  <si>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</si>
  <si>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</si>
  <si>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</si>
  <si>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</si>
  <si>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</si>
  <si>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</si>
  <si>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</si>
  <si>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</si>
  <si>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</si>
  <si>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</si>
  <si>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</si>
  <si>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</si>
  <si>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</si>
  <si>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</si>
  <si>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</si>
  <si>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</si>
  <si>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</si>
  <si>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</si>
  <si>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</si>
  <si>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</si>
  <si>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</si>
  <si>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</si>
  <si>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</si>
  <si>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</si>
  <si>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</si>
  <si>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</si>
  <si>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</si>
  <si>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</si>
  <si>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</si>
  <si>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</si>
  <si>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</si>
  <si>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</si>
  <si>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</si>
  <si>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</si>
  <si>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</si>
  <si>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</si>
  <si>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</si>
  <si>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</si>
  <si>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</si>
  <si>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</si>
  <si>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</si>
  <si>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</si>
  <si>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</si>
  <si>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</si>
  <si>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</si>
  <si>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</si>
  <si>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</si>
  <si>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</si>
  <si>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</si>
  <si>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</si>
  <si>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</si>
  <si>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</si>
  <si>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</si>
  <si>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</si>
  <si>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</si>
  <si>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</si>
  <si>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</si>
  <si>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</si>
  <si>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</si>
  <si>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</si>
  <si>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</si>
  <si>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</si>
  <si>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</si>
  <si>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</si>
  <si>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</si>
  <si>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</si>
  <si>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</si>
  <si>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</si>
  <si>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</si>
  <si>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</si>
  <si>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</si>
  <si>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</si>
  <si>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</si>
  <si>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</si>
  <si>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</si>
  <si>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</si>
  <si>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</si>
  <si>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</si>
  <si>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</si>
  <si>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</si>
  <si>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</si>
  <si>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</si>
  <si>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</si>
  <si>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</si>
  <si>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</si>
  <si>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</si>
  <si>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</si>
  <si>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</si>
  <si>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</si>
  <si>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</si>
  <si>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</si>
  <si>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</si>
  <si>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</si>
  <si>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</si>
  <si>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</si>
  <si>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</si>
  <si>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</si>
  <si>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</si>
  <si>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</si>
  <si>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</si>
  <si>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</si>
  <si>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</si>
  <si>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</si>
  <si>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</si>
  <si>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</si>
  <si>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</si>
  <si>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</si>
  <si>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</si>
  <si>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</si>
  <si>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</si>
  <si>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</si>
  <si>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</si>
  <si>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</si>
  <si>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</si>
  <si>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</si>
  <si>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</si>
  <si>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</si>
  <si>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</si>
  <si>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</si>
  <si>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</si>
  <si>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</si>
  <si>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</si>
  <si>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</si>
  <si>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</si>
  <si>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</si>
  <si>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</si>
  <si>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</si>
  <si>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</si>
  <si>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</si>
  <si>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</si>
  <si>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</si>
  <si>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</si>
  <si>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</si>
  <si>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</si>
  <si>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</si>
  <si>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</si>
  <si>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</si>
  <si>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</si>
  <si>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</si>
  <si>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</si>
  <si>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</si>
  <si>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</si>
  <si>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</si>
  <si>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</si>
  <si>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</si>
  <si>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</si>
  <si>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</si>
  <si>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</si>
  <si>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</si>
  <si>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</si>
  <si>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</si>
  <si>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</si>
  <si>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</si>
  <si>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</si>
  <si>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</si>
  <si>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</si>
  <si>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</si>
  <si>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</si>
  <si>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</si>
  <si>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</si>
  <si>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</si>
  <si>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</si>
  <si>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</si>
  <si>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</si>
  <si>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10 000</t>
  </si>
  <si>
    <t>Zagreb</t>
  </si>
  <si>
    <t>Avenija Većeslava Holjevca 10</t>
  </si>
  <si>
    <t>investitori@ina.hr</t>
  </si>
  <si>
    <t>www.ina.hr</t>
  </si>
  <si>
    <t>ZAGREB</t>
  </si>
  <si>
    <t>GRAD ZAGREB</t>
  </si>
  <si>
    <t>NE</t>
  </si>
  <si>
    <t>Top Računovodstvo Servisi d.o.o.; Član INA Grupe</t>
  </si>
  <si>
    <t>Zoltán Sándor Áldott</t>
  </si>
  <si>
    <t>Obveznik: INA - Industrija nafte d.d., Zagreb</t>
  </si>
  <si>
    <t>1920</t>
  </si>
  <si>
    <t>Goran Pavlović</t>
  </si>
  <si>
    <t xml:space="preserve">Goran.Pavlovic@trs.ina.hr </t>
  </si>
  <si>
    <t>01 612 4885</t>
  </si>
  <si>
    <t xml:space="preserve">64603058187
</t>
  </si>
  <si>
    <t>01 612 3115</t>
  </si>
  <si>
    <t>01.01.2017.</t>
  </si>
  <si>
    <t>1.1.2017.</t>
  </si>
  <si>
    <t>INA - Industrija nafte d.d.</t>
  </si>
  <si>
    <t>30.06.2017.</t>
  </si>
  <si>
    <t>stanje na dan 30.06.2017.</t>
  </si>
  <si>
    <t>u razdoblju 01.01.2017.do 30.06.2017.</t>
  </si>
  <si>
    <t>u razdoblju 01.01.2017. do 30.06.2017.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</si>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</sst>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7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25" xfId="59" applyFont="1" applyBorder="1" applyAlignment="1" applyProtection="1">
      <alignment horizontal="left" vertical="top" indent="2"/>
      <protection hidden="1"/>
    </xf>
    <xf numFmtId="0" fontId="3" fillId="0" borderId="25" xfId="59" applyFont="1" applyBorder="1" applyAlignment="1" applyProtection="1">
      <alignment horizontal="left" vertical="top" wrapText="1" indent="2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4" fillId="0" borderId="25" xfId="64" applyFont="1" applyFill="1" applyBorder="1" applyAlignment="1" applyProtection="1">
      <alignment vertical="center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6" fillId="33" borderId="21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2" xfId="59" applyFont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29" xfId="59" applyNumberFormat="1" applyFont="1" applyFill="1" applyBorder="1" applyAlignment="1" applyProtection="1">
      <alignment horizontal="center" vertical="top"/>
      <protection hidden="1" locked="0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18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4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an.Pavlovic@trs.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86" zoomScaleNormal="86" zoomScaleSheetLayoutView="80" zoomScalePageLayoutView="0" workbookViewId="0" topLeftCell="A1">
      <selection activeCell="L36" sqref="L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248</v>
      </c>
      <c r="B1" s="184"/>
      <c r="C1" s="18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18" t="s">
        <v>344</v>
      </c>
      <c r="F2" s="12"/>
      <c r="G2" s="13" t="s">
        <v>250</v>
      </c>
      <c r="H2" s="118" t="s">
        <v>346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3" t="s">
        <v>317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6" t="s">
        <v>251</v>
      </c>
      <c r="B6" s="147"/>
      <c r="C6" s="138" t="s">
        <v>323</v>
      </c>
      <c r="D6" s="13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8" t="s">
        <v>252</v>
      </c>
      <c r="B8" s="149"/>
      <c r="C8" s="138" t="s">
        <v>324</v>
      </c>
      <c r="D8" s="13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36"/>
      <c r="C10" s="138" t="s">
        <v>325</v>
      </c>
      <c r="D10" s="13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6" t="s">
        <v>254</v>
      </c>
      <c r="B12" s="147"/>
      <c r="C12" s="150" t="s">
        <v>345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6" t="s">
        <v>255</v>
      </c>
      <c r="B14" s="147"/>
      <c r="C14" s="153" t="s">
        <v>326</v>
      </c>
      <c r="D14" s="154"/>
      <c r="E14" s="16"/>
      <c r="F14" s="150" t="s">
        <v>327</v>
      </c>
      <c r="G14" s="151"/>
      <c r="H14" s="151"/>
      <c r="I14" s="15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6" t="s">
        <v>256</v>
      </c>
      <c r="B16" s="147"/>
      <c r="C16" s="150" t="s">
        <v>328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6" t="s">
        <v>257</v>
      </c>
      <c r="B18" s="147"/>
      <c r="C18" s="155" t="s">
        <v>329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6" t="s">
        <v>258</v>
      </c>
      <c r="B20" s="147"/>
      <c r="C20" s="155" t="s">
        <v>330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6" t="s">
        <v>259</v>
      </c>
      <c r="B22" s="147"/>
      <c r="C22" s="119">
        <v>133</v>
      </c>
      <c r="D22" s="150" t="s">
        <v>331</v>
      </c>
      <c r="E22" s="158"/>
      <c r="F22" s="159"/>
      <c r="G22" s="146"/>
      <c r="H22" s="160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6" t="s">
        <v>260</v>
      </c>
      <c r="B24" s="147"/>
      <c r="C24" s="119">
        <v>21</v>
      </c>
      <c r="D24" s="150" t="s">
        <v>332</v>
      </c>
      <c r="E24" s="158"/>
      <c r="F24" s="158"/>
      <c r="G24" s="159"/>
      <c r="H24" s="51" t="s">
        <v>261</v>
      </c>
      <c r="I24" s="120">
        <v>4318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6" t="s">
        <v>262</v>
      </c>
      <c r="B26" s="147"/>
      <c r="C26" s="121" t="s">
        <v>333</v>
      </c>
      <c r="D26" s="25"/>
      <c r="E26" s="33"/>
      <c r="F26" s="24"/>
      <c r="G26" s="161" t="s">
        <v>263</v>
      </c>
      <c r="H26" s="147"/>
      <c r="I26" s="122" t="s">
        <v>337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2" t="s">
        <v>264</v>
      </c>
      <c r="B28" s="163"/>
      <c r="C28" s="164"/>
      <c r="D28" s="164"/>
      <c r="E28" s="165" t="s">
        <v>265</v>
      </c>
      <c r="F28" s="166"/>
      <c r="G28" s="166"/>
      <c r="H28" s="167" t="s">
        <v>266</v>
      </c>
      <c r="I28" s="168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38"/>
      <c r="I30" s="139"/>
      <c r="J30" s="10"/>
      <c r="K30" s="10"/>
      <c r="L30" s="10"/>
    </row>
    <row r="31" spans="1:12" ht="12.75">
      <c r="A31" s="92"/>
      <c r="B31" s="22"/>
      <c r="C31" s="21"/>
      <c r="D31" s="172"/>
      <c r="E31" s="172"/>
      <c r="F31" s="172"/>
      <c r="G31" s="173"/>
      <c r="H31" s="16"/>
      <c r="I31" s="99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38"/>
      <c r="I32" s="13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38"/>
      <c r="I34" s="13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38"/>
      <c r="I36" s="139"/>
      <c r="J36" s="10"/>
      <c r="K36" s="10"/>
      <c r="L36" s="10"/>
    </row>
    <row r="37" spans="1:12" ht="12.75">
      <c r="A37" s="101"/>
      <c r="B37" s="30"/>
      <c r="C37" s="174"/>
      <c r="D37" s="175"/>
      <c r="E37" s="16"/>
      <c r="F37" s="174"/>
      <c r="G37" s="175"/>
      <c r="H37" s="16"/>
      <c r="I37" s="93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8"/>
      <c r="I38" s="13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8"/>
      <c r="I40" s="13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79"/>
      <c r="C44" s="189" t="s">
        <v>341</v>
      </c>
      <c r="D44" s="190"/>
      <c r="E44" s="26"/>
      <c r="F44" s="150" t="s">
        <v>334</v>
      </c>
      <c r="G44" s="170"/>
      <c r="H44" s="170"/>
      <c r="I44" s="171"/>
      <c r="J44" s="10"/>
      <c r="K44" s="10"/>
      <c r="L44" s="10"/>
    </row>
    <row r="45" spans="1:12" ht="12.75">
      <c r="A45" s="101"/>
      <c r="B45" s="30"/>
      <c r="C45" s="174"/>
      <c r="D45" s="175"/>
      <c r="E45" s="16"/>
      <c r="F45" s="174"/>
      <c r="G45" s="176"/>
      <c r="H45" s="35"/>
      <c r="I45" s="105"/>
      <c r="J45" s="10"/>
      <c r="K45" s="10"/>
      <c r="L45" s="10"/>
    </row>
    <row r="46" spans="1:12" ht="12.75">
      <c r="A46" s="135" t="s">
        <v>268</v>
      </c>
      <c r="B46" s="179"/>
      <c r="C46" s="150" t="s">
        <v>338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79"/>
      <c r="C48" s="180" t="s">
        <v>340</v>
      </c>
      <c r="D48" s="181"/>
      <c r="E48" s="182"/>
      <c r="F48" s="16"/>
      <c r="G48" s="51" t="s">
        <v>271</v>
      </c>
      <c r="H48" s="180" t="s">
        <v>342</v>
      </c>
      <c r="I48" s="18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79"/>
      <c r="C50" s="193" t="s">
        <v>339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6" t="s">
        <v>272</v>
      </c>
      <c r="B52" s="147"/>
      <c r="C52" s="180" t="s">
        <v>335</v>
      </c>
      <c r="D52" s="181"/>
      <c r="E52" s="181"/>
      <c r="F52" s="181"/>
      <c r="G52" s="181"/>
      <c r="H52" s="181"/>
      <c r="I52" s="152"/>
      <c r="J52" s="10"/>
      <c r="K52" s="10"/>
      <c r="L52" s="10"/>
    </row>
    <row r="53" spans="1:12" ht="12.75">
      <c r="A53" s="106"/>
      <c r="B53" s="20"/>
      <c r="C53" s="185" t="s">
        <v>273</v>
      </c>
      <c r="D53" s="185"/>
      <c r="E53" s="185"/>
      <c r="F53" s="185"/>
      <c r="G53" s="185"/>
      <c r="H53" s="18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4" t="s">
        <v>274</v>
      </c>
      <c r="C55" s="195"/>
      <c r="D55" s="195"/>
      <c r="E55" s="19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6" t="s">
        <v>306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06"/>
      <c r="B57" s="196" t="s">
        <v>307</v>
      </c>
      <c r="C57" s="197"/>
      <c r="D57" s="197"/>
      <c r="E57" s="197"/>
      <c r="F57" s="197"/>
      <c r="G57" s="197"/>
      <c r="H57" s="197"/>
      <c r="I57" s="108"/>
      <c r="J57" s="10"/>
      <c r="K57" s="10"/>
      <c r="L57" s="10"/>
    </row>
    <row r="58" spans="1:12" ht="12.75">
      <c r="A58" s="106"/>
      <c r="B58" s="196" t="s">
        <v>308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06"/>
      <c r="B59" s="196" t="s">
        <v>309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6" t="s">
        <v>277</v>
      </c>
      <c r="H62" s="187"/>
      <c r="I62" s="18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91"/>
      <c r="H63" s="192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Goran.Pavlovic@trs.ina.hr 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75" zoomScalePageLayoutView="0" workbookViewId="0" topLeftCell="A1">
      <selection activeCell="K89" sqref="K89"/>
    </sheetView>
  </sheetViews>
  <sheetFormatPr defaultColWidth="9.140625" defaultRowHeight="12.75"/>
  <cols>
    <col min="1" max="1" width="9.140625" style="52" customWidth="1"/>
    <col min="2" max="2" width="4.57421875" style="52" customWidth="1"/>
    <col min="3" max="3" width="9.00390625" style="52" hidden="1" customWidth="1"/>
    <col min="4" max="4" width="9.140625" style="52" hidden="1" customWidth="1"/>
    <col min="5" max="6" width="9.140625" style="52" customWidth="1"/>
    <col min="7" max="7" width="4.8515625" style="52" customWidth="1"/>
    <col min="8" max="8" width="5.140625" style="52" customWidth="1"/>
    <col min="9" max="9" width="9.140625" style="52" customWidth="1"/>
    <col min="10" max="10" width="12.140625" style="52" bestFit="1" customWidth="1"/>
    <col min="11" max="11" width="13.57421875" style="52" bestFit="1" customWidth="1"/>
    <col min="12" max="12" width="11.140625" style="52" bestFit="1" customWidth="1"/>
    <col min="13" max="14" width="13.8515625" style="52" bestFit="1" customWidth="1"/>
    <col min="15" max="16384" width="9.140625" style="52" customWidth="1"/>
  </cols>
  <sheetData>
    <row r="1" spans="1:11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347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336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>
      <c r="A4" s="241" t="s">
        <v>59</v>
      </c>
      <c r="B4" s="242"/>
      <c r="C4" s="242"/>
      <c r="D4" s="242"/>
      <c r="E4" s="242"/>
      <c r="F4" s="242"/>
      <c r="G4" s="242"/>
      <c r="H4" s="243"/>
      <c r="I4" s="58" t="s">
        <v>278</v>
      </c>
      <c r="J4" s="59" t="s">
        <v>319</v>
      </c>
      <c r="K4" s="60" t="s">
        <v>320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7">
        <v>2</v>
      </c>
      <c r="J5" s="56">
        <v>3</v>
      </c>
      <c r="K5" s="56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26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53">
        <f>J9+J16+J26+J35+J39</f>
        <v>15682000000</v>
      </c>
      <c r="K8" s="53">
        <f>K9+K16+K26+K35+K39</f>
        <v>14863000000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399000000</v>
      </c>
      <c r="K9" s="53">
        <f>SUM(K10:K15)</f>
        <v>376000000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157000000</v>
      </c>
      <c r="K11" s="7">
        <v>147000000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2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20000000</v>
      </c>
      <c r="K13" s="7">
        <v>12000000</v>
      </c>
      <c r="L13" s="134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222000000</v>
      </c>
      <c r="K14" s="7">
        <v>217000000</v>
      </c>
    </row>
    <row r="15" spans="1:14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  <c r="M15" s="134"/>
      <c r="N15" s="134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11207000000</v>
      </c>
      <c r="K16" s="53">
        <f>SUM(K17:K25)</f>
        <v>10719000000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1005000000</v>
      </c>
      <c r="K17" s="7">
        <v>1002000000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5245000000</v>
      </c>
      <c r="K18" s="7">
        <v>4888000000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2607000000</v>
      </c>
      <c r="K19" s="7">
        <v>2362000000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240000000</v>
      </c>
      <c r="K20" s="7">
        <v>222000000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37000000</v>
      </c>
      <c r="K22" s="7">
        <v>15000000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2066000000</v>
      </c>
      <c r="K23" s="7">
        <v>2223000000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7000000</v>
      </c>
      <c r="K24" s="7">
        <v>7000000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2310000000</v>
      </c>
      <c r="K26" s="53">
        <f>SUM(K27:K34)</f>
        <v>2151000000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805000000</v>
      </c>
      <c r="K27" s="7">
        <v>669000000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795000000</v>
      </c>
      <c r="K28" s="7">
        <v>724000000</v>
      </c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27000000</v>
      </c>
      <c r="K29" s="7">
        <v>27000000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7000000</v>
      </c>
      <c r="K32" s="7">
        <v>7000000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676000000</v>
      </c>
      <c r="K33" s="7">
        <v>724000000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82000000</v>
      </c>
      <c r="K35" s="53">
        <f>SUM(K36:K38)</f>
        <v>109000000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11000000</v>
      </c>
      <c r="K36" s="7">
        <v>11000000</v>
      </c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71000000</v>
      </c>
      <c r="K37" s="7">
        <v>98000000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1684000000</v>
      </c>
      <c r="K39" s="7">
        <v>1508000000</v>
      </c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53">
        <f>J41+J49+J56+J64</f>
        <v>4429000000</v>
      </c>
      <c r="K40" s="53">
        <f>K41+K49+K56+K64</f>
        <v>4362000000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1802000000</v>
      </c>
      <c r="K41" s="53">
        <f>SUM(K42:K48)</f>
        <v>2207000000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608000000</v>
      </c>
      <c r="K42" s="7">
        <v>724000000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564000000</v>
      </c>
      <c r="K43" s="7">
        <v>798000000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563000000</v>
      </c>
      <c r="K44" s="7">
        <v>590000000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67000000</v>
      </c>
      <c r="K45" s="7">
        <v>95000000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1727000000</v>
      </c>
      <c r="K49" s="53">
        <f>SUM(K50:K55)</f>
        <v>1458000000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258000000</v>
      </c>
      <c r="K50" s="7">
        <v>180000000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1315000000</v>
      </c>
      <c r="K51" s="7">
        <v>1125000000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3000000</v>
      </c>
      <c r="K53" s="7">
        <v>3000000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92000000</v>
      </c>
      <c r="K54" s="7">
        <v>56000000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59000000</v>
      </c>
      <c r="K55" s="7">
        <v>94000000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400000000</v>
      </c>
      <c r="K56" s="53">
        <f>SUM(K57:K63)</f>
        <v>425000000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>
        <v>0</v>
      </c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330000000</v>
      </c>
      <c r="K58" s="7">
        <v>354000000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14000000</v>
      </c>
      <c r="K62" s="7">
        <v>2000000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56000000</v>
      </c>
      <c r="K63" s="7">
        <v>69000000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500000000</v>
      </c>
      <c r="K64" s="7">
        <v>272000000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34000000</v>
      </c>
      <c r="K65" s="7">
        <v>75000000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53">
        <f>J7+J8+J40+J65</f>
        <v>20145000000</v>
      </c>
      <c r="K66" s="53">
        <f>K7+K8+K40+K65</f>
        <v>19300000000</v>
      </c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04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26"/>
      <c r="I69" s="3">
        <v>62</v>
      </c>
      <c r="J69" s="54">
        <f>J70+J71+J72+J78+J79+J82+J85</f>
        <v>10767000000</v>
      </c>
      <c r="K69" s="54">
        <f>K70+K71+K72+K78+K79+K82+K85</f>
        <v>11267000000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9000000000</v>
      </c>
      <c r="K70" s="7">
        <v>9000000000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1308000000</v>
      </c>
      <c r="K72" s="53">
        <f>K73+K74-K75+K76+K77</f>
        <v>1170000000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20000000</v>
      </c>
      <c r="K73" s="7">
        <v>28000000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1288000000</v>
      </c>
      <c r="K77" s="7">
        <v>1142000000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299000000</v>
      </c>
      <c r="K78" s="7">
        <v>338000000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160000000</v>
      </c>
      <c r="K82" s="53">
        <f>K83-K84</f>
        <v>759000000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160000000</v>
      </c>
      <c r="K83" s="7">
        <v>759000000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53">
        <f>SUM(J87:J89)</f>
        <v>3479000000</v>
      </c>
      <c r="K86" s="53">
        <f>SUM(K87:K89)</f>
        <v>3120000000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f>48000000+16000000</f>
        <v>64000000</v>
      </c>
      <c r="K87" s="7">
        <f>48000000+9000000</f>
        <v>57000000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f>3431000000-16000000</f>
        <v>3415000000</v>
      </c>
      <c r="K89" s="7">
        <f>3320000000-9000000-248000000</f>
        <v>3063000000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53">
        <f>SUM(J91:J99)</f>
        <v>331000000</v>
      </c>
      <c r="K90" s="53">
        <f>SUM(K91:K99)</f>
        <v>242000000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271000000</v>
      </c>
      <c r="K93" s="7">
        <v>187000000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60000000</v>
      </c>
      <c r="K98" s="7">
        <v>55000000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3">
        <f>SUM(J101:J112)</f>
        <v>5463000000</v>
      </c>
      <c r="K100" s="53">
        <f>SUM(K101:K112)</f>
        <v>4629000000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560000000</v>
      </c>
      <c r="K101" s="7">
        <v>381000000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2622000000</v>
      </c>
      <c r="K103" s="7">
        <v>1939000000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36000000</v>
      </c>
      <c r="K104" s="7">
        <v>215000000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1498000000</v>
      </c>
      <c r="K105" s="7">
        <v>1341000000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53000000</v>
      </c>
      <c r="K108" s="7">
        <v>45000000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552000000</v>
      </c>
      <c r="K109" s="7">
        <v>587000000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142000000</v>
      </c>
      <c r="K112" s="7">
        <v>121000000</v>
      </c>
    </row>
    <row r="113" spans="1:12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105000000</v>
      </c>
      <c r="K113" s="7">
        <v>42000000</v>
      </c>
      <c r="L113" s="70" t="s">
        <v>350</v>
      </c>
    </row>
    <row r="114" spans="1:12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3">
        <f>J69+J86+J90+J100+J113</f>
        <v>20145000000</v>
      </c>
      <c r="K114" s="53">
        <f>K69+K86+K90+K100+K113</f>
        <v>19300000000</v>
      </c>
      <c r="L114" s="134"/>
    </row>
    <row r="115" spans="1:11" ht="12.75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/>
      <c r="K115" s="8"/>
    </row>
    <row r="116" spans="1:11" ht="12.75">
      <c r="A116" s="204" t="s">
        <v>310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18" t="s">
        <v>9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ht="12.75">
      <c r="A120" s="221" t="s">
        <v>311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69" zoomScalePageLayoutView="0" workbookViewId="0" topLeftCell="A52">
      <selection activeCell="I77" sqref="I77"/>
    </sheetView>
  </sheetViews>
  <sheetFormatPr defaultColWidth="9.140625" defaultRowHeight="12.75"/>
  <cols>
    <col min="1" max="1" width="19.7109375" style="52" customWidth="1"/>
    <col min="2" max="2" width="9.140625" style="52" customWidth="1"/>
    <col min="3" max="8" width="9.140625" style="52" hidden="1" customWidth="1"/>
    <col min="9" max="9" width="6.28125" style="52" customWidth="1"/>
    <col min="10" max="10" width="12.140625" style="52" bestFit="1" customWidth="1"/>
    <col min="11" max="11" width="11.28125" style="52" bestFit="1" customWidth="1"/>
    <col min="12" max="12" width="11.57421875" style="52" bestFit="1" customWidth="1"/>
    <col min="13" max="13" width="10.7109375" style="52" bestFit="1" customWidth="1"/>
    <col min="14" max="14" width="10.140625" style="52" bestFit="1" customWidth="1"/>
    <col min="15" max="16384" width="9.140625" style="52" customWidth="1"/>
  </cols>
  <sheetData>
    <row r="1" spans="1:13" ht="12.75" customHeight="1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4" t="s">
        <v>348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58" t="s">
        <v>336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34.5">
      <c r="A4" s="259" t="s">
        <v>59</v>
      </c>
      <c r="B4" s="259"/>
      <c r="C4" s="259"/>
      <c r="D4" s="259"/>
      <c r="E4" s="259"/>
      <c r="F4" s="259"/>
      <c r="G4" s="259"/>
      <c r="H4" s="259"/>
      <c r="I4" s="58" t="s">
        <v>279</v>
      </c>
      <c r="J4" s="260" t="s">
        <v>319</v>
      </c>
      <c r="K4" s="260"/>
      <c r="L4" s="260" t="s">
        <v>320</v>
      </c>
      <c r="M4" s="260"/>
    </row>
    <row r="5" spans="1:13" ht="22.5">
      <c r="A5" s="259"/>
      <c r="B5" s="259"/>
      <c r="C5" s="259"/>
      <c r="D5" s="259"/>
      <c r="E5" s="259"/>
      <c r="F5" s="259"/>
      <c r="G5" s="259"/>
      <c r="H5" s="25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26"/>
      <c r="I7" s="3">
        <v>111</v>
      </c>
      <c r="J7" s="54">
        <f>SUM(J8:J9)</f>
        <v>5965000000</v>
      </c>
      <c r="K7" s="54">
        <f>SUM(K8:K9)</f>
        <v>3529000000</v>
      </c>
      <c r="L7" s="54">
        <f>SUM(L8:L9)</f>
        <v>8105000000</v>
      </c>
      <c r="M7" s="54">
        <f>SUM(M8:M9)</f>
        <v>4409000000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5864000000</v>
      </c>
      <c r="K8" s="7">
        <v>3471000000</v>
      </c>
      <c r="L8" s="7">
        <v>7961000000</v>
      </c>
      <c r="M8" s="7">
        <v>4314000000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101000000</v>
      </c>
      <c r="K9" s="7">
        <v>58000000</v>
      </c>
      <c r="L9" s="7">
        <v>144000000</v>
      </c>
      <c r="M9" s="7">
        <v>95000000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3">
        <f>J11+J12+J16+J20+J21+J22+J25+J26</f>
        <v>5909000000</v>
      </c>
      <c r="K10" s="53">
        <f>K11+K12+K16+K20+K21+K22+K25+K26</f>
        <v>3366000000</v>
      </c>
      <c r="L10" s="53">
        <f>L11+L12+L16+L20+L21+L22+L25+L26</f>
        <v>7263000000</v>
      </c>
      <c r="M10" s="53">
        <f>M11+M12+M16+M20+M21+M22+M25+M26</f>
        <v>3738000000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-327000000</v>
      </c>
      <c r="K11" s="7">
        <v>-211000000</v>
      </c>
      <c r="L11" s="7">
        <v>-274000000</v>
      </c>
      <c r="M11" s="7">
        <v>-79000000</v>
      </c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3">
        <f>SUM(J13:J15)</f>
        <v>4651000000</v>
      </c>
      <c r="K12" s="53">
        <f>SUM(K13:K15)</f>
        <v>2820000000</v>
      </c>
      <c r="L12" s="53">
        <f>SUM(L13:L15)</f>
        <v>6305000000</v>
      </c>
      <c r="M12" s="53">
        <f>SUM(M13:M15)</f>
        <v>3367000000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2592000000</v>
      </c>
      <c r="K13" s="7">
        <v>2032000000</v>
      </c>
      <c r="L13" s="7">
        <v>4096000000</v>
      </c>
      <c r="M13" s="7">
        <v>2389000000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1187000000</v>
      </c>
      <c r="K14" s="7">
        <f>332000000-1000000</f>
        <v>331000000</v>
      </c>
      <c r="L14" s="7">
        <v>1337000000</v>
      </c>
      <c r="M14" s="7">
        <v>553000000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872000000</v>
      </c>
      <c r="K15" s="7">
        <v>457000000</v>
      </c>
      <c r="L15" s="7">
        <v>872000000</v>
      </c>
      <c r="M15" s="7">
        <v>425000000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3">
        <f>SUM(J17:J19)</f>
        <v>563000000</v>
      </c>
      <c r="K16" s="53">
        <f>SUM(K17:K19)</f>
        <v>258000000</v>
      </c>
      <c r="L16" s="53">
        <f>SUM(L17:L19)</f>
        <v>432000000</v>
      </c>
      <c r="M16" s="53">
        <f>SUM(M17:M19)</f>
        <v>248000000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309000000</v>
      </c>
      <c r="K17" s="7">
        <v>141000000</v>
      </c>
      <c r="L17" s="7">
        <v>250000000</v>
      </c>
      <c r="M17" s="7">
        <v>140000000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171000000</v>
      </c>
      <c r="K18" s="7">
        <v>79000000</v>
      </c>
      <c r="L18" s="7">
        <v>118000000</v>
      </c>
      <c r="M18" s="7">
        <v>71000000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83000000</v>
      </c>
      <c r="K19" s="7">
        <v>38000000</v>
      </c>
      <c r="L19" s="7">
        <v>64000000</v>
      </c>
      <c r="M19" s="7">
        <v>37000000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776000000</v>
      </c>
      <c r="K20" s="7">
        <v>406000000</v>
      </c>
      <c r="L20" s="7">
        <v>844000000</v>
      </c>
      <c r="M20" s="7">
        <v>419000000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532000000</v>
      </c>
      <c r="K21" s="7">
        <v>265000000</v>
      </c>
      <c r="L21" s="7">
        <f>341000000-1000000</f>
        <v>340000000</v>
      </c>
      <c r="M21" s="7">
        <f>135000000-1000000</f>
        <v>134000000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3">
        <f>SUM(J23:J24)</f>
        <v>62000000</v>
      </c>
      <c r="K22" s="53">
        <f>SUM(K23:K24)</f>
        <v>-23000000</v>
      </c>
      <c r="L22" s="53">
        <f>SUM(L23:L24)</f>
        <v>-76000000</v>
      </c>
      <c r="M22" s="53">
        <f>SUM(M23:M24)</f>
        <v>-86000000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18000000</v>
      </c>
      <c r="K23" s="7">
        <v>16000000</v>
      </c>
      <c r="L23" s="7">
        <v>3000000</v>
      </c>
      <c r="M23" s="7">
        <v>1000000</v>
      </c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44000000</v>
      </c>
      <c r="K24" s="7">
        <v>-39000000</v>
      </c>
      <c r="L24" s="7">
        <v>-79000000</v>
      </c>
      <c r="M24" s="7">
        <f>-88000000+1000000</f>
        <v>-87000000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>
        <v>-348000000</v>
      </c>
      <c r="K25" s="7">
        <v>-149000000</v>
      </c>
      <c r="L25" s="7">
        <v>-308000000</v>
      </c>
      <c r="M25" s="7">
        <v>-265000000</v>
      </c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0</v>
      </c>
      <c r="K26" s="7">
        <v>0</v>
      </c>
      <c r="L26" s="7"/>
      <c r="M26" s="7">
        <v>0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3">
        <f>SUM(J28:J32)</f>
        <v>150000000</v>
      </c>
      <c r="K27" s="53">
        <f>SUM(K28:K32)</f>
        <v>8000000</v>
      </c>
      <c r="L27" s="53">
        <f>SUM(L28:L32)</f>
        <v>315000000</v>
      </c>
      <c r="M27" s="53">
        <f>SUM(M28:M32)</f>
        <v>192000000</v>
      </c>
    </row>
    <row r="28" spans="1:13" ht="29.25" customHeight="1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27000000</v>
      </c>
      <c r="K28" s="7">
        <v>20000000</v>
      </c>
      <c r="L28" s="7">
        <f>56000000</f>
        <v>56000000</v>
      </c>
      <c r="M28" s="7">
        <v>36000000</v>
      </c>
    </row>
    <row r="29" spans="1:13" ht="21" customHeight="1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121000000</v>
      </c>
      <c r="K29" s="7">
        <v>-13000000</v>
      </c>
      <c r="L29" s="7">
        <f>243000000+15000000</f>
        <v>258000000</v>
      </c>
      <c r="M29" s="7">
        <f>140000000+15000000</f>
        <v>155000000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>
        <v>0</v>
      </c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>
        <v>0</v>
      </c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2000000</v>
      </c>
      <c r="K32" s="7">
        <v>1000000</v>
      </c>
      <c r="L32" s="7">
        <v>1000000</v>
      </c>
      <c r="M32" s="7">
        <v>1000000</v>
      </c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3">
        <f>SUM(J34:J37)</f>
        <v>173000000</v>
      </c>
      <c r="K33" s="53">
        <f>SUM(K34:K37)</f>
        <v>80000000</v>
      </c>
      <c r="L33" s="53">
        <f>SUM(L34:L37)</f>
        <v>230000000</v>
      </c>
      <c r="M33" s="53">
        <f>SUM(M34:M37)</f>
        <v>135000000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22000000</v>
      </c>
      <c r="K34" s="7">
        <v>-14000000</v>
      </c>
      <c r="L34" s="7">
        <v>129000000</v>
      </c>
      <c r="M34" s="7">
        <v>91000000</v>
      </c>
    </row>
    <row r="35" spans="1:13" ht="24" customHeight="1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51000000</v>
      </c>
      <c r="K35" s="7">
        <v>29000000</v>
      </c>
      <c r="L35" s="7">
        <v>59000000</v>
      </c>
      <c r="M35" s="7">
        <v>27000000</v>
      </c>
    </row>
    <row r="36" spans="1:14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>
        <v>0</v>
      </c>
      <c r="N36" s="134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100000000</v>
      </c>
      <c r="K37" s="7">
        <v>65000000</v>
      </c>
      <c r="L37" s="7">
        <v>42000000</v>
      </c>
      <c r="M37" s="7">
        <v>17000000</v>
      </c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>
        <v>0</v>
      </c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3">
        <f>J7+J27+J38+J40</f>
        <v>6115000000</v>
      </c>
      <c r="K42" s="53">
        <f>K7+K27+K38+K40</f>
        <v>3537000000</v>
      </c>
      <c r="L42" s="53">
        <f>L7+L27+L38+L40</f>
        <v>8420000000</v>
      </c>
      <c r="M42" s="53">
        <f>M7+M27+M38+M40</f>
        <v>4601000000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3">
        <f>J10+J33+J39+J41</f>
        <v>6082000000</v>
      </c>
      <c r="K43" s="53">
        <f>K10+K33+K39+K41</f>
        <v>3446000000</v>
      </c>
      <c r="L43" s="53">
        <f>L10+L33+L39+L41</f>
        <v>7493000000</v>
      </c>
      <c r="M43" s="53">
        <f>M10+M33+M39+M41</f>
        <v>3873000000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3">
        <f>J42-J43</f>
        <v>33000000</v>
      </c>
      <c r="K44" s="53">
        <f>K42-K43</f>
        <v>91000000</v>
      </c>
      <c r="L44" s="53">
        <f>L42-L43</f>
        <v>927000000</v>
      </c>
      <c r="M44" s="53">
        <f>M42-M43</f>
        <v>728000000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33000000</v>
      </c>
      <c r="K45" s="53">
        <f>IF(K42&gt;K43,K42-K43,0)</f>
        <v>91000000</v>
      </c>
      <c r="L45" s="53">
        <f>IF(L42&gt;L43,L42-L43,0)</f>
        <v>927000000</v>
      </c>
      <c r="M45" s="53">
        <f>IF(M42&gt;M43,M42-M43,0)</f>
        <v>728000000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40000000</v>
      </c>
      <c r="K47" s="7">
        <v>48000000</v>
      </c>
      <c r="L47" s="7">
        <v>168000000</v>
      </c>
      <c r="M47" s="7">
        <v>130000000</v>
      </c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3">
        <f>J44-J47</f>
        <v>-7000000</v>
      </c>
      <c r="K48" s="53">
        <f>K44-K47</f>
        <v>43000000</v>
      </c>
      <c r="L48" s="53">
        <f>L44-L47</f>
        <v>759000000</v>
      </c>
      <c r="M48" s="53">
        <f>M44-M47</f>
        <v>598000000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0</v>
      </c>
      <c r="K49" s="53">
        <f>IF(K48&gt;0,K48,0)</f>
        <v>43000000</v>
      </c>
      <c r="L49" s="53">
        <f>IF(L48&gt;0,L48,0)</f>
        <v>759000000</v>
      </c>
      <c r="M49" s="53">
        <f>IF(M48&gt;0,M48,0)</f>
        <v>598000000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61">
        <f>IF(J48&lt;0,-J48,0)</f>
        <v>7000000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4" t="s">
        <v>312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5"/>
      <c r="J52" s="55"/>
      <c r="K52" s="55"/>
      <c r="L52" s="55"/>
      <c r="M52" s="133" t="s">
        <v>350</v>
      </c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04" t="s">
        <v>189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26"/>
      <c r="I56" s="9">
        <v>157</v>
      </c>
      <c r="J56" s="6">
        <f>J48</f>
        <v>-7000000</v>
      </c>
      <c r="K56" s="6">
        <f>K48</f>
        <v>43000000</v>
      </c>
      <c r="L56" s="6">
        <f>L48</f>
        <v>759000000</v>
      </c>
      <c r="M56" s="6">
        <f>M48</f>
        <v>598000000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3">
        <f>SUM(J58:J64)</f>
        <v>-46000000</v>
      </c>
      <c r="K57" s="53">
        <f>SUM(K58:K64)</f>
        <v>43000000</v>
      </c>
      <c r="L57" s="53">
        <f>SUM(L58:L64)</f>
        <v>-107000000</v>
      </c>
      <c r="M57" s="53">
        <f>SUM(M58:M64)</f>
        <v>-93000000</v>
      </c>
    </row>
    <row r="58" spans="1:13" ht="18.75" customHeight="1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>
        <v>-56000000</v>
      </c>
      <c r="K58" s="7">
        <v>32000000</v>
      </c>
      <c r="L58" s="7">
        <v>-146000000</v>
      </c>
      <c r="M58" s="7">
        <v>-93000000</v>
      </c>
    </row>
    <row r="59" spans="1:13" ht="26.25" customHeight="1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>
        <v>0</v>
      </c>
    </row>
    <row r="60" spans="1:13" ht="24.75" customHeight="1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>
        <v>9000000</v>
      </c>
      <c r="K60" s="7">
        <v>9000000</v>
      </c>
      <c r="L60" s="7">
        <v>39000000</v>
      </c>
      <c r="M60" s="7">
        <v>0</v>
      </c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>
        <v>1000000</v>
      </c>
      <c r="K64" s="7">
        <v>2000000</v>
      </c>
      <c r="L64" s="7">
        <v>0</v>
      </c>
      <c r="M64" s="7">
        <v>0</v>
      </c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26.25" customHeight="1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3">
        <f>J57-J65</f>
        <v>-46000000</v>
      </c>
      <c r="K66" s="53">
        <f>K57-K65</f>
        <v>43000000</v>
      </c>
      <c r="L66" s="53">
        <f>L57-L65</f>
        <v>-107000000</v>
      </c>
      <c r="M66" s="53">
        <f>M57-M65</f>
        <v>-93000000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1">
        <f>J56+J66</f>
        <v>-53000000</v>
      </c>
      <c r="K67" s="61">
        <f>K56+K66</f>
        <v>86000000</v>
      </c>
      <c r="L67" s="61">
        <f>L56+L66</f>
        <v>652000000</v>
      </c>
      <c r="M67" s="61">
        <f>M56+M66</f>
        <v>505000000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73" zoomScalePageLayoutView="0" workbookViewId="0" topLeftCell="A34">
      <selection activeCell="I55" sqref="I55"/>
    </sheetView>
  </sheetViews>
  <sheetFormatPr defaultColWidth="9.140625" defaultRowHeight="12.75"/>
  <cols>
    <col min="1" max="4" width="9.140625" style="52" customWidth="1"/>
    <col min="5" max="5" width="4.00390625" style="52" customWidth="1"/>
    <col min="6" max="8" width="2.57421875" style="52" customWidth="1"/>
    <col min="9" max="9" width="9.140625" style="52" customWidth="1"/>
    <col min="10" max="10" width="12.7109375" style="131" bestFit="1" customWidth="1"/>
    <col min="11" max="11" width="13.28125" style="52" customWidth="1"/>
    <col min="12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336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5" t="s">
        <v>279</v>
      </c>
      <c r="J4" s="126" t="s">
        <v>319</v>
      </c>
      <c r="K4" s="66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7">
        <v>2</v>
      </c>
      <c r="J5" s="127" t="s">
        <v>283</v>
      </c>
      <c r="K5" s="68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128">
        <v>33000000</v>
      </c>
      <c r="K7" s="7">
        <v>927000000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128">
        <v>776000000</v>
      </c>
      <c r="K8" s="7">
        <v>844000000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128">
        <v>366000000</v>
      </c>
      <c r="K9" s="7">
        <v>358000000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128"/>
      <c r="K10" s="7">
        <v>42000000</v>
      </c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128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139000000</v>
      </c>
      <c r="K12" s="7">
        <v>63000000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63">
        <f>SUM(J7:J12)</f>
        <v>1314000000</v>
      </c>
      <c r="K13" s="53">
        <f>SUM(K7:K12)</f>
        <v>2234000000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135000000</v>
      </c>
      <c r="K15" s="7"/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295000000</v>
      </c>
      <c r="K16" s="7">
        <v>442000000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454000000</v>
      </c>
      <c r="K17" s="7">
        <v>617000000</v>
      </c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3">
        <f>SUM(J14:J17)</f>
        <v>884000000</v>
      </c>
      <c r="K18" s="53">
        <f>SUM(K14:K17)</f>
        <v>1059000000</v>
      </c>
    </row>
    <row r="19" spans="1:11" ht="22.5" customHeight="1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IF(J13&gt;J18,J13-J18,0)</f>
        <v>430000000</v>
      </c>
      <c r="K19" s="53">
        <f>IF(K13&gt;K18,K13-K18,0)</f>
        <v>1175000000</v>
      </c>
    </row>
    <row r="20" spans="1:11" ht="24" customHeight="1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04" t="s">
        <v>159</v>
      </c>
      <c r="B21" s="205"/>
      <c r="C21" s="205"/>
      <c r="D21" s="205"/>
      <c r="E21" s="205"/>
      <c r="F21" s="205"/>
      <c r="G21" s="205"/>
      <c r="H21" s="205"/>
      <c r="I21" s="261"/>
      <c r="J21" s="261"/>
      <c r="K21" s="262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>
        <v>11000000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24000000</v>
      </c>
      <c r="K24" s="7">
        <v>51000000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16000000</v>
      </c>
      <c r="K26" s="7">
        <v>1000000</v>
      </c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3">
        <f>SUM(J22:J26)</f>
        <v>40000000</v>
      </c>
      <c r="K27" s="53">
        <f>SUM(K22:K26)</f>
        <v>63000000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678000000</v>
      </c>
      <c r="K28" s="7">
        <v>476000000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189000000</v>
      </c>
      <c r="K30" s="7">
        <v>195000000</v>
      </c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3">
        <f>SUM(J28:J30)</f>
        <v>867000000</v>
      </c>
      <c r="K31" s="53">
        <f>SUM(K28:K30)</f>
        <v>671000000</v>
      </c>
    </row>
    <row r="32" spans="1:11" ht="22.5" customHeight="1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24" customHeight="1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IF(J31&gt;J27,J31-J27,0)</f>
        <v>827000000</v>
      </c>
      <c r="K33" s="53">
        <f>IF(K31&gt;K27,K31-K27,0)</f>
        <v>608000000</v>
      </c>
    </row>
    <row r="34" spans="1:11" ht="12.75">
      <c r="A34" s="204" t="s">
        <v>160</v>
      </c>
      <c r="B34" s="205"/>
      <c r="C34" s="205"/>
      <c r="D34" s="205"/>
      <c r="E34" s="205"/>
      <c r="F34" s="205"/>
      <c r="G34" s="205"/>
      <c r="H34" s="205"/>
      <c r="I34" s="261"/>
      <c r="J34" s="261"/>
      <c r="K34" s="262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5614000000</v>
      </c>
      <c r="K36" s="7">
        <v>4532000000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>
        <v>38000000</v>
      </c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3">
        <f>SUM(J35:J37)</f>
        <v>5614000000</v>
      </c>
      <c r="K38" s="53">
        <f>SUM(K35:K37)</f>
        <v>4570000000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5239000000</v>
      </c>
      <c r="K39" s="7">
        <v>5140000000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>
        <v>152000000</v>
      </c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22000000</v>
      </c>
      <c r="K43" s="7">
        <f>54000000+19000000</f>
        <v>73000000</v>
      </c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3">
        <f>SUM(J39:J43)</f>
        <v>5261000000</v>
      </c>
      <c r="K44" s="53">
        <f>SUM(K39:K43)</f>
        <v>5365000000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IF(J38&gt;J44,J38-J44,0)</f>
        <v>353000000</v>
      </c>
      <c r="K45" s="53">
        <f>IF(K38&gt;K44,K38-K44,0)</f>
        <v>0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IF(J44&gt;J38,J44-J38,0)</f>
        <v>0</v>
      </c>
      <c r="K46" s="53">
        <f>IF(K44&gt;K38,K44-K38,0)</f>
        <v>795000000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129">
        <f>IF(J20-J19+J33-J32+J46-J45&gt;0,J20-J19+J33-J32+J46-J45,0)</f>
        <v>44000000</v>
      </c>
      <c r="K48" s="53">
        <f>IF(K20-K19+K33-K32+K46-K45&gt;0,K20-K19+K33-K32+K46-K45,0)</f>
        <v>228000000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128">
        <v>195000000</v>
      </c>
      <c r="K49" s="7">
        <v>500000000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128"/>
      <c r="K50" s="7">
        <f>K47</f>
        <v>0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128">
        <f>J48</f>
        <v>44000000</v>
      </c>
      <c r="K51" s="5">
        <f>K48</f>
        <v>228000000</v>
      </c>
    </row>
    <row r="52" spans="1:11" ht="12.75">
      <c r="A52" s="218" t="s">
        <v>177</v>
      </c>
      <c r="B52" s="219"/>
      <c r="C52" s="219"/>
      <c r="D52" s="219"/>
      <c r="E52" s="219"/>
      <c r="F52" s="219"/>
      <c r="G52" s="219"/>
      <c r="H52" s="219"/>
      <c r="I52" s="4">
        <v>44</v>
      </c>
      <c r="J52" s="130">
        <f>J49+J50-J51</f>
        <v>151000000</v>
      </c>
      <c r="K52" s="61">
        <f>K49+K50-K51</f>
        <v>272000000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2" zoomScaleSheetLayoutView="82" zoomScalePageLayoutView="0" workbookViewId="0" topLeftCell="A1">
      <selection activeCell="A17" sqref="A17:H1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5" t="s">
        <v>279</v>
      </c>
      <c r="J4" s="66" t="s">
        <v>319</v>
      </c>
      <c r="K4" s="66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1">
        <v>2</v>
      </c>
      <c r="J5" s="72" t="s">
        <v>283</v>
      </c>
      <c r="K5" s="72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5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7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4" t="s">
        <v>159</v>
      </c>
      <c r="B22" s="205"/>
      <c r="C22" s="205"/>
      <c r="D22" s="205"/>
      <c r="E22" s="205"/>
      <c r="F22" s="205"/>
      <c r="G22" s="205"/>
      <c r="H22" s="205"/>
      <c r="I22" s="261"/>
      <c r="J22" s="261"/>
      <c r="K22" s="262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4" t="s">
        <v>160</v>
      </c>
      <c r="B35" s="205"/>
      <c r="C35" s="205"/>
      <c r="D35" s="205"/>
      <c r="E35" s="205"/>
      <c r="F35" s="205"/>
      <c r="G35" s="205"/>
      <c r="H35" s="205"/>
      <c r="I35" s="261">
        <v>0</v>
      </c>
      <c r="J35" s="261"/>
      <c r="K35" s="262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91" zoomScaleNormal="91" zoomScaleSheetLayoutView="73" zoomScalePageLayoutView="0" workbookViewId="0" topLeftCell="B1">
      <selection activeCell="E27" sqref="E27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6" width="5.28125" style="75" customWidth="1"/>
    <col min="7" max="7" width="6.8515625" style="75" customWidth="1"/>
    <col min="8" max="8" width="3.7109375" style="75" customWidth="1"/>
    <col min="9" max="9" width="9.140625" style="75" customWidth="1"/>
    <col min="10" max="10" width="13.140625" style="75" customWidth="1"/>
    <col min="11" max="11" width="13.421875" style="75" customWidth="1"/>
    <col min="12" max="16384" width="9.140625" style="75" customWidth="1"/>
  </cols>
  <sheetData>
    <row r="1" spans="1:12" ht="12.75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4"/>
    </row>
    <row r="2" spans="1:12" ht="15.75">
      <c r="A2" s="42"/>
      <c r="B2" s="73"/>
      <c r="C2" s="277" t="s">
        <v>282</v>
      </c>
      <c r="D2" s="277"/>
      <c r="E2" s="132" t="s">
        <v>343</v>
      </c>
      <c r="F2" s="43" t="s">
        <v>250</v>
      </c>
      <c r="G2" s="278" t="s">
        <v>346</v>
      </c>
      <c r="H2" s="279"/>
      <c r="I2" s="73"/>
      <c r="J2" s="73"/>
      <c r="K2" s="73"/>
      <c r="L2" s="76"/>
    </row>
    <row r="3" spans="1:11" ht="23.25">
      <c r="A3" s="280" t="s">
        <v>59</v>
      </c>
      <c r="B3" s="280"/>
      <c r="C3" s="280"/>
      <c r="D3" s="280"/>
      <c r="E3" s="280"/>
      <c r="F3" s="280"/>
      <c r="G3" s="280"/>
      <c r="H3" s="280"/>
      <c r="I3" s="79" t="s">
        <v>305</v>
      </c>
      <c r="J3" s="80" t="s">
        <v>150</v>
      </c>
      <c r="K3" s="80" t="s">
        <v>151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2">
        <v>2</v>
      </c>
      <c r="J4" s="81" t="s">
        <v>283</v>
      </c>
      <c r="K4" s="81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9000000000</v>
      </c>
      <c r="K5" s="6">
        <v>9000000000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/>
      <c r="K6" s="46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20000000</v>
      </c>
      <c r="K7" s="46">
        <v>28000000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/>
      <c r="K8" s="46"/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-7000000</v>
      </c>
      <c r="K9" s="46">
        <v>759000000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/>
      <c r="K10" s="46"/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>
        <v>225000000</v>
      </c>
      <c r="K12" s="46">
        <v>338000000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>
        <v>1218000000</v>
      </c>
      <c r="K13" s="46">
        <v>1142000000</v>
      </c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7">
        <f>SUM(J5:J13)</f>
        <v>10456000000</v>
      </c>
      <c r="K14" s="77">
        <f>SUM(K5:K13)</f>
        <v>11267000000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>
        <v>-56000000</v>
      </c>
      <c r="K15" s="46">
        <v>-146000000</v>
      </c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>
        <v>3000000</v>
      </c>
      <c r="K20" s="46">
        <f>500000000+146000000</f>
        <v>646000000</v>
      </c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78">
        <f>SUM(J15:J20)</f>
        <v>-53000000</v>
      </c>
      <c r="K21" s="78">
        <f>SUM(K15:K20)</f>
        <v>500000000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7">
        <v>18</v>
      </c>
      <c r="J23" s="45"/>
      <c r="K23" s="45"/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8">
        <v>19</v>
      </c>
      <c r="J24" s="78"/>
      <c r="K24" s="78"/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65536 J1:IV6 L7:IV12 J13:IV65536 J7:J12"/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Beno Stela / TRS - Top računovodstvo servisi d.o.o.</cp:lastModifiedBy>
  <cp:lastPrinted>2017-07-20T08:28:26Z</cp:lastPrinted>
  <dcterms:created xsi:type="dcterms:W3CDTF">2008-10-17T11:51:54Z</dcterms:created>
  <dcterms:modified xsi:type="dcterms:W3CDTF">2017-07-25T14:48:48Z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