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tabRatio="827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<sst xmlns="http://schemas.openxmlformats.org/spreadsheetml/2006/main" count="404" uniqueCount="352">
  <si>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</si>
  <si>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</si>
  <si>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</si>
  <si>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</si>
  <si>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</si>
  <si>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</si>
  <si>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</si>
  <si>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</si>
  <si>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</si>
  <si>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</si>
  <si>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</si>
  <si>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</si>
  <si>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</si>
  <si>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</si>
  <si>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</si>
  <si>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</si>
  <si>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</si>
  <si>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</si>
  <si>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</si>
  <si>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</si>
  <si>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</si>
  <si>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</si>
  <si>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</si>
  <si>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</si>
  <si>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</si>
  <si>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</si>
  <si>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</si>
  <si>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</si>
  <si>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</si>
  <si>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</si>
  <si>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</si>
  <si>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</si>
  <si>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</si>
  <si>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</si>
  <si>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</si>
  <si>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</si>
  <si>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</si>
  <si>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</si>
  <si>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</si>
  <si>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</si>
  <si>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</si>
  <si>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</si>
  <si>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</si>
  <si>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</si>
  <si>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</si>
  <si>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</si>
  <si>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</si>
  <si>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</si>
  <si>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</si>
  <si>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</si>
  <si>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</si>
  <si>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</si>
  <si>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</si>
  <si>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</si>
  <si>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</si>
  <si>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</si>
  <si>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</si>
  <si>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</si>
  <si>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</si>
  <si>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</si>
  <si>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</si>
  <si>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</si>
  <si>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</si>
  <si>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</si>
  <si>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</si>
  <si>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</si>
  <si>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</si>
  <si>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</si>
  <si>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</si>
  <si>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</si>
  <si>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</si>
  <si>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</si>
  <si>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</si>
  <si>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</si>
  <si>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</si>
  <si>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</si>
  <si>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</si>
  <si>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</si>
  <si>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</si>
  <si>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</si>
  <si>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</si>
  <si>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</si>
  <si>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</si>
  <si>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</si>
  <si>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</si>
  <si>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</si>
  <si>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</si>
  <si>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</si>
  <si>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</si>
  <si>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</si>
  <si>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</si>
  <si>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</si>
  <si>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</si>
  <si>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</si>
  <si>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</si>
  <si>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</si>
  <si>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</si>
  <si>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</si>
  <si>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</si>
  <si>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</si>
  <si>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</si>
  <si>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</si>
  <si>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</si>
  <si>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</si>
  <si>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</si>
  <si>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</si>
  <si>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</si>
  <si>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</si>
  <si>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</si>
  <si>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</si>
  <si>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</si>
  <si>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</si>
  <si>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</si>
  <si>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</si>
  <si>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</si>
  <si>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</si>
  <si>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</si>
  <si>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</si>
  <si>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</si>
  <si>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</si>
  <si>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</si>
  <si>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</si>
  <si>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</si>
  <si>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</si>
  <si>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</si>
  <si>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</si>
  <si>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</si>
  <si>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</si>
  <si>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</si>
  <si>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</si>
  <si>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</si>
  <si>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</si>
  <si>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</si>
  <si>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</si>
  <si>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</si>
  <si>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</si>
  <si>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</si>
  <si>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</si>
  <si>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</si>
  <si>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</si>
  <si>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</si>
  <si>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</si>
  <si>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</si>
  <si>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</si>
  <si>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</si>
  <si>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</si>
  <si>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</si>
  <si>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</si>
  <si>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</si>
  <si>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</si>
  <si>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</si>
  <si>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</si>
  <si>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</si>
  <si>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</si>
  <si>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</si>
  <si>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</si>
  <si>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</si>
  <si>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</si>
  <si>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</si>
  <si>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</si>
  <si>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</si>
  <si>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</si>
  <si>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</si>
  <si>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</si>
  <si>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</si>
  <si>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</si>
  <si>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</si>
  <si>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</si>
  <si>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</si>
  <si>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</si>
  <si>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</si>
  <si>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</si>
  <si>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</si>
  <si>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</si>
  <si>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</si>
  <si>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</si>
  <si>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</si>
  <si>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</si>
  <si>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</si>
  <si>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</si>
  <si>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</si>
  <si>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</si>
  <si>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</si>
  <si>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</si>
  <si>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</si>
  <si>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</si>
  <si>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</si>
  <si>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</si>
  <si>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</si>
  <si>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</si>
  <si>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</si>
  <si>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</si>
  <si>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</si>
  <si>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</si>
  <si>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</si>
  <si>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</si>
  <si>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</si>
  <si>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</si>
  <si>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</si>
  <si>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</si>
  <si>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</si>
  <si>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</si>
  <si>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</si>
  <si>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</si>
  <si>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</si>
  <si>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</si>
  <si>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</si>
  <si>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</si>
  <si>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</si>
  <si>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</si>
  <si>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</si>
  <si>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</si>
  <si>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</si>
  <si>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</si>
  <si>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</si>
  <si>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</si>
  <si>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</si>
  <si>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</si>
  <si>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</si>
  <si>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</si>
  <si>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</si>
  <si>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</si>
  <si>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</si>
  <si>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</si>
  <si>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</si>
  <si>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</si>
  <si>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</si>
  <si>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</si>
  <si>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</si>
  <si>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</si>
  <si>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</si>
  <si>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</si>
  <si>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</si>
  <si>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</si>
  <si>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</si>
  <si>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</si>
  <si>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</si>
  <si>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</si>
  <si>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</si>
  <si>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</si>
  <si>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</si>
  <si>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</si>
  <si>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</si>
  <si>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</si>
  <si>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</si>
  <si>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</si>
  <si>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</si>
  <si>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</si>
  <si>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</si>
  <si>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</si>
  <si>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</si>
  <si>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</si>
  <si>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</si>
  <si>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</si>
  <si>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</si>
  <si>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</si>
  <si>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</si>
  <si>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</si>
  <si>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</si>
  <si>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</si>
  <si>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</si>
  <si>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</si>
  <si>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</si>
  <si>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</si>
  <si>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</si>
  <si>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</si>
  <si>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</si>
  <si>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</si>
  <si>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</si>
  <si>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</si>
  <si>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</si>
  <si>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</si>
  <si>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</si>
  <si>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</si>
  <si>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</si>
  <si>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</si>
  <si>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</si>
  <si>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</si>
  <si>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</si>
  <si>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</si>
  <si>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</si>
  <si>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</si>
  <si>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</si>
  <si>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</si>
  <si>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</si>
  <si>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</si>
  <si>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</si>
  <si>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</si>
  <si>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</si>
  <si>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</si>
  <si>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</si>
  <si>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</si>
  <si>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</si>
  <si>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</si>
  <si>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</si>
  <si>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</si>
  <si>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</si>
  <si>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</si>
  <si>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</si>
  <si>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</si>
  <si>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</si>
  <si>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</si>
  <si>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</si>
  <si>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</si>
  <si>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</si>
  <si>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</si>
  <si>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</si>
  <si>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</si>
  <si>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</si>
  <si>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</si>
  <si>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</si>
  <si>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</si>
  <si>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</si>
  <si>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</si>
  <si>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</si>
  <si>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</si>
  <si>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</si>
  <si>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</si>
  <si>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</si>
  <si>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</si>
  <si>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</si>
  <si>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</si>
  <si>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</si>
  <si>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</t>
  </si>
  <si>
    <t>1.1.2017.</t>
  </si>
  <si>
    <t>03586243</t>
  </si>
  <si>
    <t>080000604</t>
  </si>
  <si>
    <t>27759560625</t>
  </si>
  <si>
    <t>INA - Industrija nafte d.d</t>
  </si>
  <si>
    <t>10 000</t>
  </si>
  <si>
    <t>ZAGREB</t>
  </si>
  <si>
    <t>Avenija Većeslava Holjevca 10</t>
  </si>
  <si>
    <t>investitori@ina.hr</t>
  </si>
  <si>
    <t>www.ina.hr</t>
  </si>
  <si>
    <t>GRAD ZAGREB</t>
  </si>
  <si>
    <t>NE</t>
  </si>
  <si>
    <t>1920</t>
  </si>
  <si>
    <t>64603058187</t>
  </si>
  <si>
    <t>Top Računovodstvo Servisi d.o.o.; Član INA Grupe</t>
  </si>
  <si>
    <t>Goran Pavlović</t>
  </si>
  <si>
    <t>01 612-4885</t>
  </si>
  <si>
    <t>01 612 3115</t>
  </si>
  <si>
    <t xml:space="preserve">Goran.Pavlovic@trs.ina.hr </t>
  </si>
  <si>
    <t>Zoltán Sándor Áldott</t>
  </si>
  <si>
    <t>Obveznik: INA - Industrija nafte d.d., Zagreb</t>
  </si>
  <si>
    <t>stanje na dan 31.12.2017.</t>
  </si>
  <si>
    <t>u razdoblju 01.12.2017. do 31.12.2017</t>
  </si>
  <si>
    <t>u razdoblju 1.1.2017. do 31.12.2017.</t>
  </si>
  <si>
    <t>01.01.2017.</t>
  </si>
  <si>
    <t>31.12.2017.</t>
  </si>
  <si>
    <t>1</t>
  </si>
  <si>
    <t xml:space="preserve">  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</si>
</sst>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89" zoomScaleSheetLayoutView="89" zoomScalePageLayoutView="0" workbookViewId="0" topLeftCell="C1">
      <selection activeCell="H41" sqref="H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324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1" t="s">
        <v>325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1" t="s">
        <v>326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1"/>
      <c r="C10" s="151" t="s">
        <v>327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53" t="s">
        <v>328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9" t="s">
        <v>329</v>
      </c>
      <c r="D14" s="180"/>
      <c r="E14" s="16"/>
      <c r="F14" s="153" t="s">
        <v>330</v>
      </c>
      <c r="G14" s="178"/>
      <c r="H14" s="178"/>
      <c r="I14" s="13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53" t="s">
        <v>331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4" t="s">
        <v>332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4" t="s">
        <v>333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133</v>
      </c>
      <c r="D22" s="153" t="s">
        <v>330</v>
      </c>
      <c r="E22" s="164"/>
      <c r="F22" s="165"/>
      <c r="G22" s="136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21</v>
      </c>
      <c r="D24" s="153" t="s">
        <v>334</v>
      </c>
      <c r="E24" s="164"/>
      <c r="F24" s="164"/>
      <c r="G24" s="165"/>
      <c r="H24" s="51" t="s">
        <v>261</v>
      </c>
      <c r="I24" s="122">
        <v>4292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 t="s">
        <v>335</v>
      </c>
      <c r="D26" s="25"/>
      <c r="E26" s="33"/>
      <c r="F26" s="24"/>
      <c r="G26" s="166" t="s">
        <v>263</v>
      </c>
      <c r="H26" s="137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3"/>
      <c r="B37" s="30"/>
      <c r="C37" s="156"/>
      <c r="D37" s="157"/>
      <c r="E37" s="16"/>
      <c r="F37" s="156"/>
      <c r="G37" s="157"/>
      <c r="H37" s="16"/>
      <c r="I37" s="95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1" t="s">
        <v>337</v>
      </c>
      <c r="D44" s="152"/>
      <c r="E44" s="26"/>
      <c r="F44" s="153" t="s">
        <v>338</v>
      </c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6"/>
      <c r="D45" s="157"/>
      <c r="E45" s="16"/>
      <c r="F45" s="156"/>
      <c r="G45" s="158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3" t="s">
        <v>339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340</v>
      </c>
      <c r="D48" s="134"/>
      <c r="E48" s="135"/>
      <c r="F48" s="16"/>
      <c r="G48" s="51" t="s">
        <v>271</v>
      </c>
      <c r="H48" s="138" t="s">
        <v>341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342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343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47" t="s">
        <v>273</v>
      </c>
      <c r="D53" s="147"/>
      <c r="E53" s="147"/>
      <c r="F53" s="147"/>
      <c r="G53" s="147"/>
      <c r="H53" s="14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24:G24 C22:F22 C26 I26 I24 A30:I30 A32:I32 A34:D34" name="Range1"/>
    <protectedRange sqref="C20:I20" name="Range1_1"/>
    <protectedRange sqref="C18:I18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SheetLayoutView="110" zoomScalePageLayoutView="0" workbookViewId="0" topLeftCell="A97">
      <selection activeCell="J69" sqref="J69:K84"/>
    </sheetView>
  </sheetViews>
  <sheetFormatPr defaultColWidth="9.140625" defaultRowHeight="12.75"/>
  <cols>
    <col min="1" max="2" width="9.140625" style="52" customWidth="1"/>
    <col min="3" max="7" width="1.57421875" style="52" customWidth="1"/>
    <col min="8" max="9" width="9.140625" style="52" customWidth="1"/>
    <col min="10" max="10" width="12.57421875" style="52" customWidth="1"/>
    <col min="11" max="11" width="12.00390625" style="52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344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15682000000</v>
      </c>
      <c r="K8" s="53">
        <f>K9+K16+K26+K35+K39</f>
        <v>14847000000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399000000</v>
      </c>
      <c r="K9" s="53">
        <f>SUM(K10:K15)</f>
        <v>429000000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157000000</v>
      </c>
      <c r="K11" s="7">
        <v>166000000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20000000</v>
      </c>
      <c r="K13" s="7">
        <v>21000000</v>
      </c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222000000</v>
      </c>
      <c r="K14" s="7">
        <v>242000000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11207000000</v>
      </c>
      <c r="K16" s="53">
        <f>SUM(K17:K25)</f>
        <v>10591000000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1005000000</v>
      </c>
      <c r="K17" s="7">
        <v>1010000000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5245000000</v>
      </c>
      <c r="K18" s="7">
        <v>5060000000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2607000000</v>
      </c>
      <c r="K19" s="7">
        <v>2224000000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240000000</v>
      </c>
      <c r="K20" s="7">
        <v>215000000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37000000</v>
      </c>
      <c r="K22" s="7">
        <v>13000000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2066000000</v>
      </c>
      <c r="K23" s="7">
        <v>2062000000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7000000</v>
      </c>
      <c r="K24" s="7">
        <v>7000000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2310000000</v>
      </c>
      <c r="K26" s="53">
        <f>SUM(K27:K34)</f>
        <v>2413000000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805000000</v>
      </c>
      <c r="K27" s="7">
        <v>1079000000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795000000</v>
      </c>
      <c r="K28" s="7">
        <v>657000000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27000000</v>
      </c>
      <c r="K29" s="7">
        <v>6000000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7000000</v>
      </c>
      <c r="K32" s="7">
        <v>7000000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676000000</v>
      </c>
      <c r="K33" s="7">
        <v>664000000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82000000</v>
      </c>
      <c r="K35" s="53">
        <f>SUM(K36:K38)</f>
        <v>71000000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11000000</v>
      </c>
      <c r="K36" s="7">
        <v>11000000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71000000</v>
      </c>
      <c r="K37" s="7">
        <v>60000000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1684000000</v>
      </c>
      <c r="K39" s="7">
        <v>1343000000</v>
      </c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4429000000</v>
      </c>
      <c r="K40" s="53">
        <f>K41+K49+K56+K64</f>
        <v>4314000000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1802000000</v>
      </c>
      <c r="K41" s="53">
        <f>SUM(K42:K48)</f>
        <v>2021000000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608000000</v>
      </c>
      <c r="K42" s="7">
        <v>563000000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564000000</v>
      </c>
      <c r="K43" s="7">
        <v>746000000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563000000</v>
      </c>
      <c r="K44" s="7">
        <v>646000000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67000000</v>
      </c>
      <c r="K45" s="7">
        <v>66000000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1727000000</v>
      </c>
      <c r="K49" s="53">
        <f>SUM(K50:K55)</f>
        <v>1487000000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258000000</v>
      </c>
      <c r="K50" s="7">
        <v>225000000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1315000000</v>
      </c>
      <c r="K51" s="7">
        <v>1118000000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3000000</v>
      </c>
      <c r="K53" s="7">
        <v>2000000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92000000</v>
      </c>
      <c r="K54" s="7">
        <v>65000000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59000000</v>
      </c>
      <c r="K55" s="7">
        <v>77000000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400000000</v>
      </c>
      <c r="K56" s="53">
        <f>SUM(K57:K63)</f>
        <v>442000000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330000000</v>
      </c>
      <c r="K58" s="7">
        <v>376000000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0</v>
      </c>
      <c r="K61" s="7">
        <v>0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14000000</v>
      </c>
      <c r="K62" s="7">
        <v>3000000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56000000</v>
      </c>
      <c r="K63" s="7">
        <v>63000000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500000000</v>
      </c>
      <c r="K64" s="7">
        <v>364000000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34000000</v>
      </c>
      <c r="K65" s="7">
        <v>53000000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20145000000</v>
      </c>
      <c r="K66" s="53">
        <f>K7+K8+K40+K65</f>
        <v>19214000000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 t="s">
        <v>323</v>
      </c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10767000000</v>
      </c>
      <c r="K69" s="54">
        <f>K70+K71+K72+K78+K79+K82+K85</f>
        <v>11881000000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9000000000</v>
      </c>
      <c r="K70" s="7">
        <v>9000000000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1308000000</v>
      </c>
      <c r="K72" s="53">
        <f>K73+K74-K75+K76+K77</f>
        <v>1166000000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20000000</v>
      </c>
      <c r="K73" s="7">
        <v>28000000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1288000000</v>
      </c>
      <c r="K77" s="7">
        <f>1137000000+1000000</f>
        <v>1138000000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299000000</v>
      </c>
      <c r="K78" s="7">
        <f>290000000-1000000</f>
        <v>289000000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160000000</v>
      </c>
      <c r="K82" s="53">
        <f>K83-K84</f>
        <v>1426000000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160000000</v>
      </c>
      <c r="K83" s="7">
        <v>1426000000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3479000000</v>
      </c>
      <c r="K86" s="53">
        <f>SUM(K87:K89)</f>
        <v>3496000000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64000000</v>
      </c>
      <c r="K87" s="7">
        <v>40000000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3415000000</v>
      </c>
      <c r="K89" s="7">
        <v>3456000000</v>
      </c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331000000</v>
      </c>
      <c r="K90" s="53">
        <f>SUM(K91:K99)</f>
        <v>173000000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271000000</v>
      </c>
      <c r="K93" s="7">
        <v>122000000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60000000</v>
      </c>
      <c r="K98" s="7">
        <v>51000000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5463000000</v>
      </c>
      <c r="K100" s="53">
        <f>SUM(K101:K112)</f>
        <v>3559000000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560000000</v>
      </c>
      <c r="K101" s="7">
        <v>495000000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2618000000</v>
      </c>
      <c r="K103" s="7">
        <v>1481000000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36000000</v>
      </c>
      <c r="K104" s="7">
        <v>63000000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1498000000</v>
      </c>
      <c r="K105" s="7">
        <v>787000000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53000000</v>
      </c>
      <c r="K108" s="7">
        <v>50000000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552000000</v>
      </c>
      <c r="K109" s="7">
        <v>527000000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146000000</v>
      </c>
      <c r="K112" s="7">
        <v>156000000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105000000</v>
      </c>
      <c r="K113" s="7">
        <v>105000000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20145000000</v>
      </c>
      <c r="K114" s="53">
        <f>K69+K86+K90+K100+K113</f>
        <v>19214000000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/>
      <c r="K115" s="8"/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8.75" customHeight="1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B40">
      <selection activeCell="J57" sqref="J57:M65"/>
    </sheetView>
  </sheetViews>
  <sheetFormatPr defaultColWidth="9.140625" defaultRowHeight="12.75"/>
  <cols>
    <col min="1" max="1" width="18.421875" style="52" customWidth="1"/>
    <col min="2" max="2" width="1.1484375" style="52" customWidth="1"/>
    <col min="3" max="3" width="2.00390625" style="52" customWidth="1"/>
    <col min="4" max="4" width="1.7109375" style="52" customWidth="1"/>
    <col min="5" max="5" width="1.8515625" style="52" customWidth="1"/>
    <col min="6" max="6" width="1.57421875" style="52" customWidth="1"/>
    <col min="7" max="8" width="2.7109375" style="52" customWidth="1"/>
    <col min="9" max="9" width="4.8515625" style="52" customWidth="1"/>
    <col min="10" max="10" width="13.00390625" style="52" customWidth="1"/>
    <col min="11" max="11" width="11.8515625" style="52" customWidth="1"/>
    <col min="12" max="12" width="11.421875" style="52" customWidth="1"/>
    <col min="13" max="13" width="12.28125" style="52" customWidth="1"/>
    <col min="14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34.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14904000000</v>
      </c>
      <c r="K7" s="54">
        <f>SUM(K8:K9)</f>
        <v>4515000000</v>
      </c>
      <c r="L7" s="54">
        <f>SUM(L8:L9)</f>
        <v>17953000000</v>
      </c>
      <c r="M7" s="54">
        <f>SUM(M8:M9)</f>
        <v>5089000000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14602000000</v>
      </c>
      <c r="K8" s="7">
        <v>4346000000</v>
      </c>
      <c r="L8" s="7">
        <v>17578000000</v>
      </c>
      <c r="M8" s="7">
        <v>4856000000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302000000</v>
      </c>
      <c r="K9" s="7">
        <v>169000000</v>
      </c>
      <c r="L9" s="7">
        <v>375000000</v>
      </c>
      <c r="M9" s="7">
        <v>233000000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13997000000</v>
      </c>
      <c r="K10" s="53">
        <f>K11+K12+K16+K20+K21+K22+K25+K26</f>
        <v>4113000000</v>
      </c>
      <c r="L10" s="53">
        <f>L11+L12+L16+L20+L21+L22+L25+L26</f>
        <v>16253000000</v>
      </c>
      <c r="M10" s="53">
        <f>M11+M12+M16+M20+M21+M22+M25+M26</f>
        <v>4540000000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-256000000</v>
      </c>
      <c r="K11" s="7">
        <v>-98000000</v>
      </c>
      <c r="L11" s="7">
        <v>-288000000</v>
      </c>
      <c r="M11" s="7">
        <v>-28000000</v>
      </c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10951000000</v>
      </c>
      <c r="K12" s="53">
        <f>SUM(K13:K15)</f>
        <v>3231000000</v>
      </c>
      <c r="L12" s="53">
        <f>SUM(L13:L15)</f>
        <v>13315000000</v>
      </c>
      <c r="M12" s="53">
        <f>SUM(M13:M15)</f>
        <v>3439000000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7230000000</v>
      </c>
      <c r="K13" s="7">
        <v>2483000000</v>
      </c>
      <c r="L13" s="7">
        <v>8816000000</v>
      </c>
      <c r="M13" s="7">
        <v>2510000000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1889000000</v>
      </c>
      <c r="K14" s="7">
        <v>271000000</v>
      </c>
      <c r="L14" s="7">
        <v>2666000000</v>
      </c>
      <c r="M14" s="7">
        <v>435000000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1832000000</v>
      </c>
      <c r="K15" s="7">
        <v>477000000</v>
      </c>
      <c r="L15" s="7">
        <v>1833000000</v>
      </c>
      <c r="M15" s="7">
        <v>494000000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972000000</v>
      </c>
      <c r="K16" s="53">
        <f>SUM(K17:K19)</f>
        <v>195000000</v>
      </c>
      <c r="L16" s="53">
        <f>SUM(L17:L19)</f>
        <v>810000000</v>
      </c>
      <c r="M16" s="53">
        <f>SUM(M17:M19)</f>
        <v>193000000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545000000</v>
      </c>
      <c r="K17" s="7">
        <v>116000000</v>
      </c>
      <c r="L17" s="7">
        <v>476000000</v>
      </c>
      <c r="M17" s="7">
        <v>115000000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284000000</v>
      </c>
      <c r="K18" s="7">
        <v>51000000</v>
      </c>
      <c r="L18" s="7">
        <v>214000000</v>
      </c>
      <c r="M18" s="7">
        <v>49000000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143000000</v>
      </c>
      <c r="K19" s="7">
        <v>28000000</v>
      </c>
      <c r="L19" s="7">
        <v>120000000</v>
      </c>
      <c r="M19" s="7">
        <v>29000000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1600000000</v>
      </c>
      <c r="K20" s="7">
        <v>424000000</v>
      </c>
      <c r="L20" s="7">
        <v>1733000000</v>
      </c>
      <c r="M20" s="7">
        <v>450000000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967000000</v>
      </c>
      <c r="K21" s="7">
        <v>327000000</v>
      </c>
      <c r="L21" s="7">
        <v>799000000</v>
      </c>
      <c r="M21" s="7">
        <v>303000000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109000000</v>
      </c>
      <c r="K22" s="53">
        <f>SUM(K23:K24)</f>
        <v>52000000</v>
      </c>
      <c r="L22" s="53">
        <f>SUM(L23:L24)</f>
        <v>30000000</v>
      </c>
      <c r="M22" s="53">
        <f>SUM(M23:M24)</f>
        <v>28000000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47000000</v>
      </c>
      <c r="K23" s="7">
        <v>24000000</v>
      </c>
      <c r="L23" s="7">
        <v>51000000</v>
      </c>
      <c r="M23" s="7">
        <v>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62000000</v>
      </c>
      <c r="K24" s="7">
        <v>28000000</v>
      </c>
      <c r="L24" s="7">
        <v>-21000000</v>
      </c>
      <c r="M24" s="7">
        <v>28000000</v>
      </c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-346000000</v>
      </c>
      <c r="K25" s="7">
        <v>-18000000</v>
      </c>
      <c r="L25" s="7">
        <v>-146000000</v>
      </c>
      <c r="M25" s="7">
        <v>155000000</v>
      </c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/>
      <c r="L26" s="7"/>
      <c r="M26" s="7"/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155000000</v>
      </c>
      <c r="K27" s="53">
        <f>SUM(K28:K32)</f>
        <v>-44000000</v>
      </c>
      <c r="L27" s="53">
        <f>SUM(L28:L32)</f>
        <v>384000000</v>
      </c>
      <c r="M27" s="53">
        <f>SUM(M28:M32)</f>
        <v>-4000000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92000000</v>
      </c>
      <c r="K28" s="7">
        <v>45000000</v>
      </c>
      <c r="L28" s="7">
        <v>76000000</v>
      </c>
      <c r="M28" s="7">
        <v>8000000</v>
      </c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44000000</v>
      </c>
      <c r="K29" s="7">
        <v>-90000000</v>
      </c>
      <c r="L29" s="7">
        <v>286000000</v>
      </c>
      <c r="M29" s="7">
        <v>-13000000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19000000</v>
      </c>
      <c r="K32" s="7">
        <v>1000000</v>
      </c>
      <c r="L32" s="7">
        <v>22000000</v>
      </c>
      <c r="M32" s="7">
        <v>1000000</v>
      </c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560000000</v>
      </c>
      <c r="K33" s="53">
        <f>SUM(K34:K37)</f>
        <v>209000000</v>
      </c>
      <c r="L33" s="53">
        <f>SUM(L34:L37)</f>
        <v>310000000</v>
      </c>
      <c r="M33" s="53">
        <f>SUM(M34:M37)</f>
        <v>34000000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8000000</v>
      </c>
      <c r="K34" s="7">
        <v>-26000000</v>
      </c>
      <c r="L34" s="7">
        <v>137000000</v>
      </c>
      <c r="M34" s="7">
        <v>2000000</v>
      </c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126000000</v>
      </c>
      <c r="K35" s="7">
        <v>79000000</v>
      </c>
      <c r="L35" s="7">
        <v>88000000</v>
      </c>
      <c r="M35" s="7">
        <v>2000000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426000000</v>
      </c>
      <c r="K37" s="7">
        <v>156000000</v>
      </c>
      <c r="L37" s="7">
        <v>85000000</v>
      </c>
      <c r="M37" s="7">
        <v>30000000</v>
      </c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15059000000</v>
      </c>
      <c r="K42" s="53">
        <f>K7+K27+K38+K40</f>
        <v>4471000000</v>
      </c>
      <c r="L42" s="53">
        <f>L7+L27+L38+L40</f>
        <v>18337000000</v>
      </c>
      <c r="M42" s="53">
        <f>M7+M27+M38+M40</f>
        <v>5085000000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14557000000</v>
      </c>
      <c r="K43" s="53">
        <f>K10+K33+K39+K41</f>
        <v>4322000000</v>
      </c>
      <c r="L43" s="53">
        <f>L10+L33+L39+L41</f>
        <v>16563000000</v>
      </c>
      <c r="M43" s="53">
        <f>M10+M33+M39+M41</f>
        <v>4574000000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502000000</v>
      </c>
      <c r="K44" s="53">
        <f>K42-K43</f>
        <v>149000000</v>
      </c>
      <c r="L44" s="53">
        <f>L42-L43</f>
        <v>1774000000</v>
      </c>
      <c r="M44" s="53">
        <f>M42-M43</f>
        <v>511000000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502000000</v>
      </c>
      <c r="K45" s="53">
        <f>IF(K42&gt;K43,K42-K43,0)</f>
        <v>149000000</v>
      </c>
      <c r="L45" s="53">
        <f>IF(L42&gt;L43,L42-L43,0)</f>
        <v>1774000000</v>
      </c>
      <c r="M45" s="53">
        <f>IF(M42&gt;M43,M42-M43,0)</f>
        <v>511000000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342000000</v>
      </c>
      <c r="K47" s="7">
        <v>237000000</v>
      </c>
      <c r="L47" s="7">
        <v>348000000</v>
      </c>
      <c r="M47" s="7">
        <v>124000000</v>
      </c>
    </row>
    <row r="48" spans="1:13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160000000</v>
      </c>
      <c r="K48" s="53">
        <f>K44-K47</f>
        <v>-88000000</v>
      </c>
      <c r="L48" s="53">
        <f>L44-L47</f>
        <v>1426000000</v>
      </c>
      <c r="M48" s="53">
        <f>M44-M47</f>
        <v>387000000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160000000</v>
      </c>
      <c r="K49" s="53">
        <f>IF(K48&gt;0,K48,0)</f>
        <v>0</v>
      </c>
      <c r="L49" s="53">
        <f>IF(L48&gt;0,L48,0)</f>
        <v>1426000000</v>
      </c>
      <c r="M49" s="53">
        <f>IF(M48&gt;0,M48,0)</f>
        <v>387000000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0</v>
      </c>
      <c r="K50" s="61">
        <f>IF(K48&lt;0,-K48,0)</f>
        <v>88000000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160000000</v>
      </c>
      <c r="K56" s="6">
        <v>-88000000</v>
      </c>
      <c r="L56" s="6">
        <v>1426000000</v>
      </c>
      <c r="M56" s="6">
        <v>387000000</v>
      </c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98000000</v>
      </c>
      <c r="K57" s="53">
        <f>SUM(K58:K64)</f>
        <v>129000000</v>
      </c>
      <c r="L57" s="53">
        <f>SUM(L58:L64)</f>
        <v>-160000000</v>
      </c>
      <c r="M57" s="53">
        <f>SUM(M58:M64)</f>
        <v>8000000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>
        <v>14000000</v>
      </c>
      <c r="K58" s="7">
        <v>92000000</v>
      </c>
      <c r="L58" s="7">
        <f>-162000000+1000000</f>
        <v>-161000000</v>
      </c>
      <c r="M58" s="7">
        <v>7000000</v>
      </c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 t="s">
        <v>351</v>
      </c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>
        <v>83000000</v>
      </c>
      <c r="K60" s="7">
        <v>35000000</v>
      </c>
      <c r="L60" s="7">
        <f>-9000000-1000000</f>
        <v>-10000000</v>
      </c>
      <c r="M60" s="7">
        <v>-10000000</v>
      </c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>
        <v>1000000</v>
      </c>
      <c r="K64" s="7">
        <v>2000000</v>
      </c>
      <c r="L64" s="7">
        <v>11000000</v>
      </c>
      <c r="M64" s="7">
        <v>11000000</v>
      </c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98000000</v>
      </c>
      <c r="K66" s="53">
        <f>K57-K65</f>
        <v>129000000</v>
      </c>
      <c r="L66" s="53">
        <f>L57-L65</f>
        <v>-160000000</v>
      </c>
      <c r="M66" s="53">
        <f>M57-M65</f>
        <v>8000000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258000000</v>
      </c>
      <c r="K67" s="61">
        <f>K56+K66</f>
        <v>41000000</v>
      </c>
      <c r="L67" s="61">
        <f>L56+L66</f>
        <v>1266000000</v>
      </c>
      <c r="M67" s="61">
        <f>M56+M66</f>
        <v>395000000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SheetLayoutView="100" zoomScalePageLayoutView="0" workbookViewId="0" topLeftCell="B34">
      <selection activeCell="J8" sqref="A8:K32"/>
    </sheetView>
  </sheetViews>
  <sheetFormatPr defaultColWidth="9.140625" defaultRowHeight="12.75"/>
  <cols>
    <col min="1" max="1" width="22.140625" style="52" customWidth="1"/>
    <col min="2" max="3" width="9.140625" style="52" customWidth="1"/>
    <col min="4" max="4" width="4.140625" style="52" customWidth="1"/>
    <col min="5" max="5" width="3.57421875" style="52" customWidth="1"/>
    <col min="6" max="6" width="2.7109375" style="52" customWidth="1"/>
    <col min="7" max="7" width="9.140625" style="52" customWidth="1"/>
    <col min="8" max="8" width="4.00390625" style="52" customWidth="1"/>
    <col min="9" max="9" width="9.140625" style="52" customWidth="1"/>
    <col min="10" max="10" width="12.421875" style="52" customWidth="1"/>
    <col min="11" max="11" width="11.7109375" style="52" bestFit="1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344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502000000</v>
      </c>
      <c r="K7" s="7">
        <v>1774000000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1600000000</v>
      </c>
      <c r="K8" s="7">
        <v>1733000000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404000000</v>
      </c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f>596000000-28000000</f>
        <v>568000000</v>
      </c>
      <c r="K12" s="7">
        <v>142000000</v>
      </c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3074000000</v>
      </c>
      <c r="K13" s="53">
        <f>SUM(K7:K12)</f>
        <v>3649000000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>
        <v>7000000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f>255000000+1000000</f>
        <v>256000000</v>
      </c>
      <c r="K15" s="7">
        <v>643000000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f>228000000-1000000</f>
        <v>227000000</v>
      </c>
      <c r="K16" s="7">
        <v>314000000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534000000</v>
      </c>
      <c r="K17" s="7">
        <v>556000000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1017000000</v>
      </c>
      <c r="K18" s="53">
        <f>SUM(K14:K17)</f>
        <v>1520000000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2057000000</v>
      </c>
      <c r="K19" s="53">
        <f>IF(K13&gt;K18,K13-K18,0)</f>
        <v>2129000000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37000000</v>
      </c>
      <c r="K22" s="7">
        <v>470000000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8000000</v>
      </c>
      <c r="K24" s="7">
        <v>60000000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f>33000000-1000000</f>
        <v>32000000</v>
      </c>
      <c r="K26" s="7">
        <v>40000000</v>
      </c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77000000</v>
      </c>
      <c r="K27" s="53">
        <f>SUM(K22:K26)</f>
        <v>570000000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f>1322000000-28000000</f>
        <v>1294000000</v>
      </c>
      <c r="K28" s="7">
        <v>1348000000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f>261000000-1000000</f>
        <v>260000000</v>
      </c>
      <c r="K30" s="7">
        <v>164000000</v>
      </c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1554000000</v>
      </c>
      <c r="K31" s="53">
        <f>SUM(K28:K30)</f>
        <v>1512000000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1477000000</v>
      </c>
      <c r="K33" s="53">
        <f>IF(K31&gt;K27,K31-K27,0)</f>
        <v>942000000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11730000000</v>
      </c>
      <c r="K36" s="7">
        <v>10519000000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11730000000</v>
      </c>
      <c r="K38" s="53">
        <f>SUM(K35:K37)</f>
        <v>10519000000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11866000000</v>
      </c>
      <c r="K39" s="7">
        <v>11587000000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>
        <v>152000000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139000000</v>
      </c>
      <c r="K43" s="7">
        <v>103000000</v>
      </c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12005000000</v>
      </c>
      <c r="K44" s="53">
        <f>SUM(K39:K43)</f>
        <v>11842000000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275000000</v>
      </c>
      <c r="K46" s="53">
        <f>IF(K44&gt;K38,K44-K38,0)</f>
        <v>1323000000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305000000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136000000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195000000</v>
      </c>
      <c r="K49" s="7">
        <v>500000000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f>J47</f>
        <v>305000000</v>
      </c>
      <c r="K50" s="7">
        <f>K47</f>
        <v>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>
        <f>K48</f>
        <v>136000000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500000000</v>
      </c>
      <c r="K52" s="61">
        <f>K49+K50-K51</f>
        <v>364000000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E25">
      <selection activeCell="N42" sqref="N4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25" zoomScalePageLayoutView="0" workbookViewId="0" topLeftCell="D1">
      <selection activeCell="J6" sqref="J6: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9.28125" style="76" bestFit="1" customWidth="1"/>
    <col min="10" max="11" width="11.7109375" style="76" bestFit="1" customWidth="1"/>
    <col min="12" max="12" width="11.140625" style="76" bestFit="1" customWidth="1"/>
    <col min="13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 t="s">
        <v>348</v>
      </c>
      <c r="F2" s="43" t="s">
        <v>250</v>
      </c>
      <c r="G2" s="286" t="s">
        <v>349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 t="s">
        <v>350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9000000000</v>
      </c>
      <c r="K5" s="45">
        <v>9000000000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1288000000</v>
      </c>
      <c r="K7" s="46">
        <f>1137000000+1000000</f>
        <v>1138000000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20000000</v>
      </c>
      <c r="K8" s="46">
        <v>28000000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160000000</v>
      </c>
      <c r="K9" s="46">
        <v>1426000000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299000000</v>
      </c>
      <c r="K12" s="46">
        <f>290000000-1000000</f>
        <v>289000000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10767000000</v>
      </c>
      <c r="K14" s="79">
        <f>SUM(K5:K13)</f>
        <v>11881000000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>
        <v>14000000</v>
      </c>
      <c r="K15" s="46">
        <v>-162000000</v>
      </c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244000000</v>
      </c>
      <c r="K20" s="46">
        <v>1276000000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258000000</v>
      </c>
      <c r="K21" s="80">
        <f>SUM(K15:K20)</f>
        <v>1114000000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  <row r="27" ht="12.75">
      <c r="L27" s="12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Kolar Ivan</cp:lastModifiedBy>
  <cp:lastPrinted>2018-02-12T11:33:06Z</cp:lastPrinted>
  <dcterms:created xsi:type="dcterms:W3CDTF">2008-10-17T11:51:54Z</dcterms:created>
  <dcterms:modified xsi:type="dcterms:W3CDTF">2018-02-19T16:49:27Z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HANFA- Obrazac TFI-POD INA, d.d. -Q4 2017 -HR.xls</vt:lpwstr>
  </property>
</Properties>
</file>